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.Degiorgi\Desktop\"/>
    </mc:Choice>
  </mc:AlternateContent>
  <xr:revisionPtr revIDLastSave="0" documentId="8_{DCA4AB4A-71EB-4430-AE05-A31A7E52E4CC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fondo e utilizzi" sheetId="1" r:id="rId1"/>
    <sheet name="uscite-entrate" sheetId="2" r:id="rId2"/>
    <sheet name="RIA e ad personam" sheetId="3" r:id="rId3"/>
    <sheet name="quota comparto" sheetId="4" r:id="rId4"/>
    <sheet name="nuove PEO" sheetId="5" r:id="rId5"/>
    <sheet name="Quote PEO" sheetId="6" r:id="rId6"/>
    <sheet name="PL" sheetId="7" r:id="rId7"/>
    <sheet name="Spesa PEO annua" sheetId="8" r:id="rId8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0" i="8" l="1"/>
  <c r="E38" i="8"/>
  <c r="C38" i="8"/>
  <c r="D38" i="8" s="1"/>
  <c r="D37" i="8"/>
  <c r="C37" i="8"/>
  <c r="C36" i="8"/>
  <c r="D36" i="8" s="1"/>
  <c r="C35" i="8"/>
  <c r="D35" i="8" s="1"/>
  <c r="C34" i="8"/>
  <c r="D34" i="8" s="1"/>
  <c r="C32" i="8"/>
  <c r="D32" i="8" s="1"/>
  <c r="C31" i="8"/>
  <c r="D31" i="8" s="1"/>
  <c r="C30" i="8"/>
  <c r="D30" i="8" s="1"/>
  <c r="C29" i="8"/>
  <c r="D29" i="8" s="1"/>
  <c r="D28" i="8"/>
  <c r="C28" i="8"/>
  <c r="C27" i="8"/>
  <c r="D27" i="8" s="1"/>
  <c r="C26" i="8"/>
  <c r="D26" i="8" s="1"/>
  <c r="C24" i="8"/>
  <c r="D24" i="8" s="1"/>
  <c r="C23" i="8"/>
  <c r="D23" i="8" s="1"/>
  <c r="C22" i="8"/>
  <c r="D22" i="8" s="1"/>
  <c r="C21" i="8"/>
  <c r="D21" i="8" s="1"/>
  <c r="C20" i="8"/>
  <c r="D20" i="8" s="1"/>
  <c r="D18" i="8"/>
  <c r="C18" i="8"/>
  <c r="C17" i="8"/>
  <c r="D17" i="8" s="1"/>
  <c r="C16" i="8"/>
  <c r="D16" i="8" s="1"/>
  <c r="C15" i="8"/>
  <c r="D15" i="8" s="1"/>
  <c r="C14" i="8"/>
  <c r="D14" i="8" s="1"/>
  <c r="K12" i="8"/>
  <c r="C12" i="8"/>
  <c r="D12" i="8" s="1"/>
  <c r="K11" i="8"/>
  <c r="C11" i="8"/>
  <c r="D11" i="8" s="1"/>
  <c r="K10" i="8"/>
  <c r="C10" i="8"/>
  <c r="D10" i="8" s="1"/>
  <c r="K9" i="8"/>
  <c r="C9" i="8"/>
  <c r="D9" i="8" s="1"/>
  <c r="K8" i="8"/>
  <c r="C8" i="8"/>
  <c r="D8" i="8" s="1"/>
  <c r="K7" i="8"/>
  <c r="C7" i="8"/>
  <c r="D7" i="8" s="1"/>
  <c r="C5" i="8"/>
  <c r="D5" i="8" s="1"/>
  <c r="C4" i="8"/>
  <c r="D4" i="8" s="1"/>
  <c r="E3" i="8" s="1"/>
  <c r="C3" i="8"/>
  <c r="D3" i="8" s="1"/>
  <c r="D2" i="8"/>
  <c r="C2" i="8"/>
  <c r="H7" i="7"/>
  <c r="G7" i="7"/>
  <c r="F7" i="7"/>
  <c r="E7" i="7"/>
  <c r="D7" i="7"/>
  <c r="C7" i="7"/>
  <c r="B7" i="7"/>
  <c r="C27" i="6"/>
  <c r="D27" i="6" s="1"/>
  <c r="F27" i="6" s="1"/>
  <c r="C26" i="6"/>
  <c r="D26" i="6" s="1"/>
  <c r="F26" i="6" s="1"/>
  <c r="G26" i="6" s="1"/>
  <c r="C25" i="6"/>
  <c r="D25" i="6" s="1"/>
  <c r="F25" i="6" s="1"/>
  <c r="C24" i="6"/>
  <c r="D24" i="6" s="1"/>
  <c r="F24" i="6" s="1"/>
  <c r="G24" i="6" s="1"/>
  <c r="C23" i="6"/>
  <c r="D23" i="6" s="1"/>
  <c r="F23" i="6" s="1"/>
  <c r="C21" i="6"/>
  <c r="D21" i="6" s="1"/>
  <c r="C20" i="6"/>
  <c r="D20" i="6" s="1"/>
  <c r="F20" i="6" s="1"/>
  <c r="C19" i="6"/>
  <c r="D19" i="6" s="1"/>
  <c r="C18" i="6"/>
  <c r="D18" i="6" s="1"/>
  <c r="F18" i="6" s="1"/>
  <c r="C17" i="6"/>
  <c r="D17" i="6" s="1"/>
  <c r="F17" i="6" s="1"/>
  <c r="G17" i="6" s="1"/>
  <c r="C16" i="6"/>
  <c r="D16" i="6" s="1"/>
  <c r="F16" i="6" s="1"/>
  <c r="C15" i="6"/>
  <c r="D15" i="6" s="1"/>
  <c r="F15" i="6" s="1"/>
  <c r="G15" i="6" s="1"/>
  <c r="C13" i="6"/>
  <c r="D13" i="6" s="1"/>
  <c r="F13" i="6" s="1"/>
  <c r="C12" i="6"/>
  <c r="D12" i="6" s="1"/>
  <c r="F12" i="6" s="1"/>
  <c r="G12" i="6" s="1"/>
  <c r="C11" i="6"/>
  <c r="D11" i="6" s="1"/>
  <c r="F11" i="6" s="1"/>
  <c r="C10" i="6"/>
  <c r="D10" i="6" s="1"/>
  <c r="F10" i="6" s="1"/>
  <c r="G10" i="6" s="1"/>
  <c r="C9" i="6"/>
  <c r="D9" i="6" s="1"/>
  <c r="F9" i="6" s="1"/>
  <c r="C7" i="6"/>
  <c r="D7" i="6" s="1"/>
  <c r="F7" i="6" s="1"/>
  <c r="G7" i="6" s="1"/>
  <c r="C6" i="6"/>
  <c r="D6" i="6" s="1"/>
  <c r="F6" i="6" s="1"/>
  <c r="G27" i="6" s="1"/>
  <c r="C5" i="6"/>
  <c r="D5" i="6" s="1"/>
  <c r="F5" i="6" s="1"/>
  <c r="G5" i="6" s="1"/>
  <c r="C4" i="6"/>
  <c r="D4" i="6" s="1"/>
  <c r="F4" i="6" s="1"/>
  <c r="C3" i="6"/>
  <c r="D3" i="6" s="1"/>
  <c r="F3" i="6" s="1"/>
  <c r="G3" i="6" s="1"/>
  <c r="C2" i="6"/>
  <c r="D2" i="6" s="1"/>
  <c r="F2" i="6" s="1"/>
  <c r="I44" i="5"/>
  <c r="L42" i="5"/>
  <c r="I42" i="5"/>
  <c r="I43" i="5" s="1"/>
  <c r="F42" i="5"/>
  <c r="F43" i="5" s="1"/>
  <c r="E40" i="5"/>
  <c r="K39" i="5"/>
  <c r="K38" i="5"/>
  <c r="H38" i="5"/>
  <c r="G38" i="5"/>
  <c r="D38" i="5"/>
  <c r="J38" i="5" s="1"/>
  <c r="C38" i="5"/>
  <c r="K37" i="5"/>
  <c r="J37" i="5"/>
  <c r="H37" i="5"/>
  <c r="C37" i="5"/>
  <c r="D37" i="5" s="1"/>
  <c r="K36" i="5"/>
  <c r="H36" i="5"/>
  <c r="C36" i="5"/>
  <c r="D36" i="5" s="1"/>
  <c r="K35" i="5"/>
  <c r="H35" i="5"/>
  <c r="C35" i="5"/>
  <c r="D35" i="5" s="1"/>
  <c r="J35" i="5" s="1"/>
  <c r="C34" i="5"/>
  <c r="D34" i="5" s="1"/>
  <c r="K33" i="5"/>
  <c r="H33" i="5"/>
  <c r="K32" i="5"/>
  <c r="J32" i="5"/>
  <c r="H32" i="5"/>
  <c r="C32" i="5"/>
  <c r="D32" i="5" s="1"/>
  <c r="K31" i="5"/>
  <c r="J31" i="5"/>
  <c r="H31" i="5"/>
  <c r="C31" i="5"/>
  <c r="D31" i="5" s="1"/>
  <c r="M30" i="5"/>
  <c r="K30" i="5"/>
  <c r="H30" i="5"/>
  <c r="C30" i="5"/>
  <c r="D30" i="5" s="1"/>
  <c r="K29" i="5"/>
  <c r="H29" i="5"/>
  <c r="D29" i="5"/>
  <c r="J29" i="5" s="1"/>
  <c r="C29" i="5"/>
  <c r="K28" i="5"/>
  <c r="H28" i="5"/>
  <c r="C28" i="5"/>
  <c r="D28" i="5" s="1"/>
  <c r="K27" i="5"/>
  <c r="J27" i="5"/>
  <c r="H27" i="5"/>
  <c r="C27" i="5"/>
  <c r="D27" i="5" s="1"/>
  <c r="M26" i="5"/>
  <c r="D26" i="5"/>
  <c r="C26" i="5"/>
  <c r="K25" i="5"/>
  <c r="H25" i="5"/>
  <c r="K24" i="5"/>
  <c r="H24" i="5"/>
  <c r="G24" i="5"/>
  <c r="D24" i="5"/>
  <c r="J24" i="5" s="1"/>
  <c r="C24" i="5"/>
  <c r="K23" i="5"/>
  <c r="J23" i="5"/>
  <c r="H23" i="5"/>
  <c r="D23" i="5"/>
  <c r="C23" i="5"/>
  <c r="K22" i="5"/>
  <c r="H22" i="5"/>
  <c r="C22" i="5"/>
  <c r="D22" i="5" s="1"/>
  <c r="K21" i="5"/>
  <c r="H21" i="5"/>
  <c r="C21" i="5"/>
  <c r="D21" i="5" s="1"/>
  <c r="J21" i="5" s="1"/>
  <c r="J20" i="5"/>
  <c r="C20" i="5"/>
  <c r="D20" i="5" s="1"/>
  <c r="G20" i="5" s="1"/>
  <c r="K19" i="5"/>
  <c r="H19" i="5"/>
  <c r="K18" i="5"/>
  <c r="H18" i="5"/>
  <c r="C18" i="5"/>
  <c r="D18" i="5" s="1"/>
  <c r="K17" i="5"/>
  <c r="J17" i="5"/>
  <c r="H17" i="5"/>
  <c r="C17" i="5"/>
  <c r="D17" i="5" s="1"/>
  <c r="K16" i="5"/>
  <c r="H16" i="5"/>
  <c r="G16" i="5"/>
  <c r="C16" i="5"/>
  <c r="D16" i="5" s="1"/>
  <c r="J16" i="5" s="1"/>
  <c r="M15" i="5"/>
  <c r="K15" i="5"/>
  <c r="H15" i="5"/>
  <c r="D15" i="5"/>
  <c r="J15" i="5" s="1"/>
  <c r="C15" i="5"/>
  <c r="C14" i="5"/>
  <c r="D14" i="5" s="1"/>
  <c r="M14" i="5" s="1"/>
  <c r="K13" i="5"/>
  <c r="H13" i="5"/>
  <c r="K12" i="5"/>
  <c r="J12" i="5"/>
  <c r="H12" i="5"/>
  <c r="C12" i="5"/>
  <c r="D12" i="5" s="1"/>
  <c r="K11" i="5"/>
  <c r="H11" i="5"/>
  <c r="G11" i="5"/>
  <c r="C11" i="5"/>
  <c r="D11" i="5" s="1"/>
  <c r="J11" i="5" s="1"/>
  <c r="K10" i="5"/>
  <c r="H10" i="5"/>
  <c r="D10" i="5"/>
  <c r="J10" i="5" s="1"/>
  <c r="C10" i="5"/>
  <c r="K9" i="5"/>
  <c r="H9" i="5"/>
  <c r="C9" i="5"/>
  <c r="D9" i="5" s="1"/>
  <c r="K8" i="5"/>
  <c r="J8" i="5"/>
  <c r="H8" i="5"/>
  <c r="C8" i="5"/>
  <c r="D8" i="5" s="1"/>
  <c r="D7" i="5"/>
  <c r="M7" i="5" s="1"/>
  <c r="C7" i="5"/>
  <c r="K6" i="5"/>
  <c r="H6" i="5"/>
  <c r="K5" i="5"/>
  <c r="H5" i="5"/>
  <c r="D5" i="5"/>
  <c r="J5" i="5" s="1"/>
  <c r="C5" i="5"/>
  <c r="K4" i="5"/>
  <c r="H4" i="5"/>
  <c r="C4" i="5"/>
  <c r="D4" i="5" s="1"/>
  <c r="K3" i="5"/>
  <c r="J3" i="5"/>
  <c r="H3" i="5"/>
  <c r="C3" i="5"/>
  <c r="D3" i="5" s="1"/>
  <c r="D2" i="5"/>
  <c r="M2" i="5" s="1"/>
  <c r="C2" i="5"/>
  <c r="E5" i="4"/>
  <c r="F5" i="4" s="1"/>
  <c r="D5" i="4"/>
  <c r="F4" i="4"/>
  <c r="E33" i="2" s="1"/>
  <c r="I33" i="2" s="1"/>
  <c r="E4" i="4"/>
  <c r="D4" i="4"/>
  <c r="E3" i="4"/>
  <c r="F3" i="4" s="1"/>
  <c r="E25" i="2" s="1"/>
  <c r="D3" i="4"/>
  <c r="E2" i="4"/>
  <c r="F2" i="4" s="1"/>
  <c r="D2" i="4"/>
  <c r="G8" i="3"/>
  <c r="M6" i="3"/>
  <c r="L6" i="3"/>
  <c r="K6" i="3"/>
  <c r="J6" i="3"/>
  <c r="D6" i="3"/>
  <c r="M5" i="3"/>
  <c r="L5" i="3"/>
  <c r="K5" i="3"/>
  <c r="J5" i="3"/>
  <c r="I5" i="3"/>
  <c r="H5" i="3"/>
  <c r="M4" i="3"/>
  <c r="L4" i="3"/>
  <c r="J4" i="3"/>
  <c r="I4" i="3"/>
  <c r="H4" i="3"/>
  <c r="E4" i="3"/>
  <c r="K4" i="3" s="1"/>
  <c r="K8" i="3" s="1"/>
  <c r="M3" i="3"/>
  <c r="M8" i="3" s="1"/>
  <c r="L3" i="3"/>
  <c r="L8" i="3" s="1"/>
  <c r="L9" i="3" s="1"/>
  <c r="K3" i="3"/>
  <c r="I3" i="3"/>
  <c r="H3" i="3"/>
  <c r="G3" i="3"/>
  <c r="D3" i="3"/>
  <c r="M43" i="2"/>
  <c r="L43" i="2"/>
  <c r="F43" i="2"/>
  <c r="J41" i="2"/>
  <c r="J40" i="2"/>
  <c r="J39" i="2"/>
  <c r="J38" i="2"/>
  <c r="H38" i="2"/>
  <c r="J37" i="2"/>
  <c r="H37" i="2"/>
  <c r="J36" i="2"/>
  <c r="J43" i="2" s="1"/>
  <c r="H36" i="2"/>
  <c r="J35" i="2"/>
  <c r="H35" i="2"/>
  <c r="J34" i="2"/>
  <c r="H34" i="2"/>
  <c r="F34" i="2"/>
  <c r="K33" i="2"/>
  <c r="J33" i="2"/>
  <c r="H33" i="2"/>
  <c r="F33" i="2"/>
  <c r="J32" i="2"/>
  <c r="H32" i="2"/>
  <c r="F32" i="2"/>
  <c r="J31" i="2"/>
  <c r="H31" i="2"/>
  <c r="F31" i="2"/>
  <c r="E31" i="2"/>
  <c r="I31" i="2" s="1"/>
  <c r="J30" i="2"/>
  <c r="I30" i="2"/>
  <c r="H30" i="2"/>
  <c r="F30" i="2"/>
  <c r="E30" i="2"/>
  <c r="J29" i="2"/>
  <c r="H29" i="2"/>
  <c r="F29" i="2"/>
  <c r="J28" i="2"/>
  <c r="H28" i="2"/>
  <c r="F28" i="2"/>
  <c r="J27" i="2"/>
  <c r="H27" i="2"/>
  <c r="F27" i="2"/>
  <c r="J26" i="2"/>
  <c r="H26" i="2"/>
  <c r="F26" i="2"/>
  <c r="J25" i="2"/>
  <c r="H25" i="2"/>
  <c r="H43" i="2" s="1"/>
  <c r="F25" i="2"/>
  <c r="M19" i="2"/>
  <c r="K19" i="2"/>
  <c r="D19" i="2"/>
  <c r="J19" i="2" s="1"/>
  <c r="M18" i="2"/>
  <c r="K18" i="2"/>
  <c r="D18" i="2"/>
  <c r="L18" i="2" s="1"/>
  <c r="M17" i="2"/>
  <c r="K17" i="2"/>
  <c r="M16" i="2"/>
  <c r="K16" i="2"/>
  <c r="M15" i="2"/>
  <c r="K15" i="2"/>
  <c r="I15" i="2"/>
  <c r="M14" i="2"/>
  <c r="K14" i="2"/>
  <c r="I14" i="2"/>
  <c r="M13" i="2"/>
  <c r="L13" i="2"/>
  <c r="K13" i="2"/>
  <c r="J13" i="2"/>
  <c r="I13" i="2"/>
  <c r="H13" i="2"/>
  <c r="M12" i="2"/>
  <c r="K12" i="2"/>
  <c r="I12" i="2"/>
  <c r="M11" i="2"/>
  <c r="K11" i="2"/>
  <c r="I11" i="2"/>
  <c r="D11" i="2"/>
  <c r="J11" i="2" s="1"/>
  <c r="M10" i="2"/>
  <c r="K10" i="2"/>
  <c r="I10" i="2"/>
  <c r="G10" i="2"/>
  <c r="M9" i="2"/>
  <c r="K9" i="2"/>
  <c r="I9" i="2"/>
  <c r="G9" i="2"/>
  <c r="M8" i="2"/>
  <c r="L8" i="2"/>
  <c r="K8" i="2"/>
  <c r="J8" i="2"/>
  <c r="I8" i="2"/>
  <c r="H8" i="2"/>
  <c r="G8" i="2"/>
  <c r="F8" i="2"/>
  <c r="M7" i="2"/>
  <c r="K7" i="2"/>
  <c r="I7" i="2"/>
  <c r="G7" i="2"/>
  <c r="M6" i="2"/>
  <c r="K6" i="2"/>
  <c r="I6" i="2"/>
  <c r="G6" i="2"/>
  <c r="D6" i="2"/>
  <c r="M5" i="2"/>
  <c r="K5" i="2"/>
  <c r="I5" i="2"/>
  <c r="G5" i="2"/>
  <c r="M4" i="2"/>
  <c r="K4" i="2"/>
  <c r="I4" i="2"/>
  <c r="G4" i="2"/>
  <c r="M3" i="2"/>
  <c r="M21" i="2" s="1"/>
  <c r="M45" i="2" s="1"/>
  <c r="L3" i="2"/>
  <c r="K3" i="2"/>
  <c r="I3" i="2"/>
  <c r="I21" i="2" s="1"/>
  <c r="H3" i="2"/>
  <c r="G3" i="2"/>
  <c r="D3" i="2"/>
  <c r="E40" i="1"/>
  <c r="C40" i="1"/>
  <c r="G37" i="1"/>
  <c r="I36" i="1"/>
  <c r="G36" i="1"/>
  <c r="I35" i="1"/>
  <c r="G35" i="1"/>
  <c r="K35" i="1" s="1"/>
  <c r="K34" i="1"/>
  <c r="I34" i="1"/>
  <c r="G34" i="1"/>
  <c r="H34" i="1" s="1"/>
  <c r="K33" i="1"/>
  <c r="G32" i="1"/>
  <c r="G31" i="1"/>
  <c r="G30" i="1"/>
  <c r="G40" i="1" s="1"/>
  <c r="G29" i="1"/>
  <c r="G28" i="1"/>
  <c r="E26" i="1"/>
  <c r="G24" i="1"/>
  <c r="H38" i="1" s="1"/>
  <c r="G23" i="1"/>
  <c r="C23" i="1"/>
  <c r="C24" i="1" s="1"/>
  <c r="K20" i="1"/>
  <c r="I20" i="1"/>
  <c r="G20" i="1"/>
  <c r="E20" i="1"/>
  <c r="K19" i="1"/>
  <c r="K23" i="1" s="1"/>
  <c r="I19" i="1"/>
  <c r="I23" i="1" s="1"/>
  <c r="G19" i="1"/>
  <c r="E19" i="1"/>
  <c r="E18" i="1"/>
  <c r="E23" i="1" s="1"/>
  <c r="E16" i="1"/>
  <c r="C16" i="1"/>
  <c r="C26" i="1" s="1"/>
  <c r="C27" i="1" s="1"/>
  <c r="C41" i="1" s="1"/>
  <c r="K15" i="1"/>
  <c r="I15" i="1"/>
  <c r="G15" i="1"/>
  <c r="H15" i="1" s="1"/>
  <c r="E15" i="1"/>
  <c r="F15" i="1" s="1"/>
  <c r="C13" i="1"/>
  <c r="E11" i="1"/>
  <c r="H9" i="1"/>
  <c r="K6" i="1"/>
  <c r="K24" i="1" s="1"/>
  <c r="I6" i="1"/>
  <c r="G6" i="1"/>
  <c r="E6" i="1"/>
  <c r="E24" i="1" s="1"/>
  <c r="K5" i="1"/>
  <c r="E5" i="1"/>
  <c r="K3" i="1"/>
  <c r="G3" i="1"/>
  <c r="I3" i="1" s="1"/>
  <c r="I5" i="1" s="1"/>
  <c r="M9" i="5" l="1"/>
  <c r="G9" i="5"/>
  <c r="J9" i="5"/>
  <c r="I25" i="2"/>
  <c r="E39" i="2"/>
  <c r="E35" i="2"/>
  <c r="K25" i="2"/>
  <c r="E26" i="2"/>
  <c r="G25" i="2"/>
  <c r="M4" i="5"/>
  <c r="G4" i="5"/>
  <c r="J4" i="5"/>
  <c r="I24" i="1"/>
  <c r="F38" i="1"/>
  <c r="F30" i="1"/>
  <c r="F9" i="1"/>
  <c r="F35" i="1"/>
  <c r="F31" i="1"/>
  <c r="F28" i="1"/>
  <c r="F37" i="1"/>
  <c r="F36" i="1"/>
  <c r="F8" i="1"/>
  <c r="F11" i="1" s="1"/>
  <c r="F14" i="1"/>
  <c r="F32" i="1"/>
  <c r="F7" i="1"/>
  <c r="M18" i="5"/>
  <c r="G18" i="5"/>
  <c r="J18" i="5"/>
  <c r="K3" i="8"/>
  <c r="I3" i="8"/>
  <c r="G3" i="8"/>
  <c r="L14" i="1"/>
  <c r="L38" i="1"/>
  <c r="L28" i="1"/>
  <c r="L29" i="1"/>
  <c r="L9" i="1"/>
  <c r="J34" i="1"/>
  <c r="H36" i="1"/>
  <c r="L6" i="2"/>
  <c r="H6" i="2"/>
  <c r="M10" i="5"/>
  <c r="M21" i="5"/>
  <c r="F19" i="6"/>
  <c r="G19" i="6" s="1"/>
  <c r="D12" i="2"/>
  <c r="D10" i="2"/>
  <c r="D5" i="2"/>
  <c r="H14" i="1"/>
  <c r="K40" i="1"/>
  <c r="J35" i="1"/>
  <c r="J3" i="2"/>
  <c r="F3" i="2"/>
  <c r="K21" i="2"/>
  <c r="F6" i="2"/>
  <c r="J18" i="2"/>
  <c r="K30" i="2"/>
  <c r="G30" i="2"/>
  <c r="G33" i="2"/>
  <c r="E34" i="2"/>
  <c r="H8" i="3"/>
  <c r="H9" i="3" s="1"/>
  <c r="G5" i="5"/>
  <c r="G10" i="5"/>
  <c r="M11" i="5"/>
  <c r="G14" i="5"/>
  <c r="G15" i="5"/>
  <c r="M16" i="5"/>
  <c r="G21" i="5"/>
  <c r="M22" i="5"/>
  <c r="G22" i="5"/>
  <c r="M28" i="5"/>
  <c r="G28" i="5"/>
  <c r="G34" i="5"/>
  <c r="M34" i="5"/>
  <c r="J34" i="5"/>
  <c r="H28" i="1"/>
  <c r="I37" i="1"/>
  <c r="J37" i="1" s="1"/>
  <c r="H37" i="1"/>
  <c r="M5" i="5"/>
  <c r="J7" i="5"/>
  <c r="G7" i="5"/>
  <c r="H30" i="1"/>
  <c r="H32" i="1"/>
  <c r="L34" i="1"/>
  <c r="L35" i="1"/>
  <c r="K37" i="1"/>
  <c r="L37" i="1" s="1"/>
  <c r="G21" i="2"/>
  <c r="L11" i="2"/>
  <c r="L19" i="2"/>
  <c r="E32" i="2"/>
  <c r="G31" i="2"/>
  <c r="K31" i="2"/>
  <c r="I8" i="3"/>
  <c r="M3" i="5"/>
  <c r="M42" i="5" s="1"/>
  <c r="G3" i="5"/>
  <c r="M8" i="5"/>
  <c r="G8" i="5"/>
  <c r="M12" i="5"/>
  <c r="G12" i="5"/>
  <c r="J14" i="5"/>
  <c r="M17" i="5"/>
  <c r="G17" i="5"/>
  <c r="M23" i="5"/>
  <c r="G23" i="5"/>
  <c r="M29" i="5"/>
  <c r="M35" i="5"/>
  <c r="M37" i="5"/>
  <c r="G37" i="5"/>
  <c r="F21" i="6"/>
  <c r="G21" i="6" s="1"/>
  <c r="D17" i="2"/>
  <c r="D15" i="2"/>
  <c r="D9" i="2"/>
  <c r="D16" i="2"/>
  <c r="D4" i="2"/>
  <c r="E18" i="8"/>
  <c r="E17" i="8"/>
  <c r="E32" i="8"/>
  <c r="E31" i="8"/>
  <c r="K38" i="8"/>
  <c r="I38" i="8"/>
  <c r="G38" i="8"/>
  <c r="H31" i="1"/>
  <c r="H35" i="1"/>
  <c r="J6" i="2"/>
  <c r="J2" i="5"/>
  <c r="G2" i="5"/>
  <c r="L15" i="1"/>
  <c r="E27" i="1"/>
  <c r="E41" i="1" s="1"/>
  <c r="H29" i="1"/>
  <c r="H33" i="1"/>
  <c r="D7" i="2"/>
  <c r="H11" i="2"/>
  <c r="D14" i="2"/>
  <c r="J3" i="3"/>
  <c r="J8" i="3" s="1"/>
  <c r="J9" i="3" s="1"/>
  <c r="F3" i="3"/>
  <c r="F8" i="3" s="1"/>
  <c r="F9" i="3" s="1"/>
  <c r="M20" i="5"/>
  <c r="J22" i="5"/>
  <c r="M24" i="5"/>
  <c r="J26" i="5"/>
  <c r="G26" i="5"/>
  <c r="J28" i="5"/>
  <c r="G29" i="5"/>
  <c r="J30" i="5"/>
  <c r="G30" i="5"/>
  <c r="M32" i="5"/>
  <c r="G32" i="5"/>
  <c r="G35" i="5"/>
  <c r="M36" i="5"/>
  <c r="G36" i="5"/>
  <c r="J36" i="5"/>
  <c r="L46" i="5"/>
  <c r="E11" i="8"/>
  <c r="E9" i="8"/>
  <c r="E7" i="8"/>
  <c r="E23" i="8"/>
  <c r="K36" i="1"/>
  <c r="L36" i="1" s="1"/>
  <c r="M27" i="5"/>
  <c r="G27" i="5"/>
  <c r="M31" i="5"/>
  <c r="G31" i="5"/>
  <c r="E4" i="8"/>
  <c r="E2" i="8"/>
  <c r="E8" i="8"/>
  <c r="E10" i="8"/>
  <c r="E12" i="8"/>
  <c r="E24" i="8"/>
  <c r="G5" i="1"/>
  <c r="L33" i="1"/>
  <c r="M38" i="5"/>
  <c r="L43" i="5"/>
  <c r="G2" i="6"/>
  <c r="G4" i="6"/>
  <c r="G6" i="6"/>
  <c r="G9" i="6"/>
  <c r="G11" i="6"/>
  <c r="G13" i="6"/>
  <c r="G16" i="6"/>
  <c r="G18" i="6"/>
  <c r="G20" i="6"/>
  <c r="G23" i="6"/>
  <c r="G25" i="6"/>
  <c r="E5" i="8"/>
  <c r="E37" i="8"/>
  <c r="K5" i="8" l="1"/>
  <c r="I5" i="8"/>
  <c r="G5" i="8"/>
  <c r="I8" i="8"/>
  <c r="G8" i="8"/>
  <c r="G23" i="8"/>
  <c r="I23" i="8"/>
  <c r="E22" i="8"/>
  <c r="K23" i="8"/>
  <c r="J7" i="2"/>
  <c r="F7" i="2"/>
  <c r="L7" i="2"/>
  <c r="H7" i="2"/>
  <c r="G42" i="5"/>
  <c r="K31" i="8"/>
  <c r="I31" i="8"/>
  <c r="E30" i="8"/>
  <c r="G31" i="8"/>
  <c r="J4" i="2"/>
  <c r="J21" i="2" s="1"/>
  <c r="J45" i="2" s="1"/>
  <c r="F4" i="2"/>
  <c r="F21" i="2" s="1"/>
  <c r="F45" i="2" s="1"/>
  <c r="G8" i="1" s="1"/>
  <c r="L4" i="2"/>
  <c r="H4" i="2"/>
  <c r="L17" i="2"/>
  <c r="J17" i="2"/>
  <c r="E38" i="2"/>
  <c r="I32" i="2"/>
  <c r="K32" i="2"/>
  <c r="G32" i="2"/>
  <c r="K24" i="8"/>
  <c r="I24" i="8"/>
  <c r="G24" i="8"/>
  <c r="G2" i="8"/>
  <c r="K2" i="8"/>
  <c r="I2" i="8"/>
  <c r="G7" i="8"/>
  <c r="I7" i="8"/>
  <c r="J42" i="5"/>
  <c r="G32" i="8"/>
  <c r="I32" i="8"/>
  <c r="K32" i="8"/>
  <c r="J16" i="2"/>
  <c r="L16" i="2"/>
  <c r="J12" i="2"/>
  <c r="L12" i="2"/>
  <c r="H12" i="2"/>
  <c r="K17" i="8"/>
  <c r="I17" i="8"/>
  <c r="E16" i="8"/>
  <c r="G17" i="8"/>
  <c r="J9" i="2"/>
  <c r="F9" i="2"/>
  <c r="H9" i="2"/>
  <c r="L9" i="2"/>
  <c r="K34" i="2"/>
  <c r="G34" i="2"/>
  <c r="I34" i="2"/>
  <c r="J14" i="1"/>
  <c r="J36" i="1"/>
  <c r="J15" i="1"/>
  <c r="J33" i="1"/>
  <c r="J28" i="1"/>
  <c r="J9" i="1"/>
  <c r="J38" i="1"/>
  <c r="J29" i="1"/>
  <c r="I35" i="2"/>
  <c r="K35" i="2"/>
  <c r="F39" i="1"/>
  <c r="I12" i="8"/>
  <c r="G12" i="8"/>
  <c r="G4" i="8"/>
  <c r="K4" i="8"/>
  <c r="I4" i="8"/>
  <c r="G9" i="8"/>
  <c r="I9" i="8"/>
  <c r="J14" i="2"/>
  <c r="L14" i="2"/>
  <c r="H14" i="2"/>
  <c r="G37" i="8"/>
  <c r="K37" i="8"/>
  <c r="I37" i="8"/>
  <c r="E36" i="8"/>
  <c r="I40" i="1"/>
  <c r="I10" i="8"/>
  <c r="G10" i="8"/>
  <c r="G11" i="8"/>
  <c r="I11" i="8"/>
  <c r="G18" i="8"/>
  <c r="K18" i="8"/>
  <c r="I18" i="8"/>
  <c r="J15" i="2"/>
  <c r="L15" i="2"/>
  <c r="H15" i="2"/>
  <c r="L5" i="2"/>
  <c r="H5" i="2"/>
  <c r="F5" i="2"/>
  <c r="J5" i="2"/>
  <c r="E40" i="2"/>
  <c r="K39" i="2"/>
  <c r="L10" i="2"/>
  <c r="H10" i="2"/>
  <c r="J10" i="2"/>
  <c r="F10" i="2"/>
  <c r="K26" i="2"/>
  <c r="G26" i="2"/>
  <c r="I26" i="2"/>
  <c r="E36" i="2"/>
  <c r="E27" i="2"/>
  <c r="H8" i="1" l="1"/>
  <c r="H11" i="1" s="1"/>
  <c r="G11" i="1"/>
  <c r="I36" i="2"/>
  <c r="K36" i="2"/>
  <c r="H21" i="2"/>
  <c r="H45" i="2" s="1"/>
  <c r="J44" i="5"/>
  <c r="M46" i="5" s="1"/>
  <c r="K22" i="8"/>
  <c r="I22" i="8"/>
  <c r="E21" i="8"/>
  <c r="G22" i="8"/>
  <c r="E41" i="2"/>
  <c r="K41" i="2" s="1"/>
  <c r="K40" i="2"/>
  <c r="E28" i="2"/>
  <c r="K27" i="2"/>
  <c r="E37" i="2"/>
  <c r="G27" i="2"/>
  <c r="I27" i="2"/>
  <c r="K36" i="8"/>
  <c r="I36" i="8"/>
  <c r="E35" i="8"/>
  <c r="G36" i="8"/>
  <c r="G16" i="8"/>
  <c r="K16" i="8"/>
  <c r="I16" i="8"/>
  <c r="E15" i="8"/>
  <c r="K38" i="2"/>
  <c r="I38" i="2"/>
  <c r="L21" i="2"/>
  <c r="L45" i="2" s="1"/>
  <c r="G30" i="8"/>
  <c r="K30" i="8"/>
  <c r="I30" i="8"/>
  <c r="E29" i="8"/>
  <c r="G35" i="8" l="1"/>
  <c r="K35" i="8"/>
  <c r="I35" i="8"/>
  <c r="E34" i="8"/>
  <c r="K37" i="2"/>
  <c r="I37" i="2"/>
  <c r="I8" i="1"/>
  <c r="G21" i="8"/>
  <c r="K21" i="8"/>
  <c r="I21" i="8"/>
  <c r="E20" i="8"/>
  <c r="K29" i="8"/>
  <c r="I29" i="8"/>
  <c r="E28" i="8"/>
  <c r="G29" i="8"/>
  <c r="K15" i="8"/>
  <c r="I15" i="8"/>
  <c r="E14" i="8"/>
  <c r="G15" i="8"/>
  <c r="I28" i="2"/>
  <c r="E29" i="2"/>
  <c r="K28" i="2"/>
  <c r="G28" i="2"/>
  <c r="I11" i="1" l="1"/>
  <c r="K8" i="1" s="1"/>
  <c r="J8" i="1"/>
  <c r="J11" i="1" s="1"/>
  <c r="I29" i="2"/>
  <c r="I43" i="2" s="1"/>
  <c r="I45" i="2" s="1"/>
  <c r="I7" i="1" s="1"/>
  <c r="G29" i="2"/>
  <c r="G43" i="2" s="1"/>
  <c r="G45" i="2" s="1"/>
  <c r="G7" i="1" s="1"/>
  <c r="K29" i="2"/>
  <c r="K43" i="2" s="1"/>
  <c r="K45" i="2" s="1"/>
  <c r="K7" i="1" s="1"/>
  <c r="G14" i="8"/>
  <c r="I14" i="8"/>
  <c r="K14" i="8"/>
  <c r="G28" i="8"/>
  <c r="K28" i="8"/>
  <c r="I28" i="8"/>
  <c r="E27" i="8"/>
  <c r="K20" i="8"/>
  <c r="I20" i="8"/>
  <c r="G20" i="8"/>
  <c r="K34" i="8"/>
  <c r="I34" i="8"/>
  <c r="G34" i="8"/>
  <c r="I16" i="1" l="1"/>
  <c r="I26" i="1" s="1"/>
  <c r="I27" i="1" s="1"/>
  <c r="I41" i="1" s="1"/>
  <c r="J7" i="1"/>
  <c r="J39" i="1" s="1"/>
  <c r="L7" i="1"/>
  <c r="K16" i="1"/>
  <c r="K26" i="1" s="1"/>
  <c r="K27" i="1" s="1"/>
  <c r="K41" i="1" s="1"/>
  <c r="L8" i="1"/>
  <c r="L11" i="1" s="1"/>
  <c r="K11" i="1"/>
  <c r="K27" i="8"/>
  <c r="I27" i="8"/>
  <c r="E26" i="8"/>
  <c r="G27" i="8"/>
  <c r="H7" i="1"/>
  <c r="H39" i="1" s="1"/>
  <c r="G16" i="1"/>
  <c r="G26" i="1" s="1"/>
  <c r="G27" i="1" s="1"/>
  <c r="G41" i="1" s="1"/>
  <c r="G26" i="8" l="1"/>
  <c r="G42" i="8" s="1"/>
  <c r="K26" i="8"/>
  <c r="K42" i="8" s="1"/>
  <c r="I26" i="8"/>
  <c r="I42" i="8" s="1"/>
  <c r="L39" i="1"/>
</calcChain>
</file>

<file path=xl/sharedStrings.xml><?xml version="1.0" encoding="utf-8"?>
<sst xmlns="http://schemas.openxmlformats.org/spreadsheetml/2006/main" count="301" uniqueCount="162">
  <si>
    <t>% su fondo</t>
  </si>
  <si>
    <t>stabile</t>
  </si>
  <si>
    <t>PO fuori fondo 2017</t>
  </si>
  <si>
    <t>eventuale incremento PO</t>
  </si>
  <si>
    <t>nuovo fondo PO</t>
  </si>
  <si>
    <t>stabile dal 2018</t>
  </si>
  <si>
    <t>impieghi stabili</t>
  </si>
  <si>
    <t>indennità di comparto</t>
  </si>
  <si>
    <t>PEO: totale "C" anno precedente meno cessazioni</t>
  </si>
  <si>
    <t xml:space="preserve">A </t>
  </si>
  <si>
    <t>nuove PEO per anno</t>
  </si>
  <si>
    <t xml:space="preserve">B </t>
  </si>
  <si>
    <t xml:space="preserve">C </t>
  </si>
  <si>
    <t>totali PEO = A + B</t>
  </si>
  <si>
    <t>PO (spesa effettiva) (destinato 253.120,00)</t>
  </si>
  <si>
    <t>indennità ex 8° q.f.</t>
  </si>
  <si>
    <r>
      <rPr>
        <sz val="11"/>
        <rFont val="Calibri"/>
        <family val="2"/>
        <charset val="1"/>
      </rPr>
      <t xml:space="preserve">recupero </t>
    </r>
    <r>
      <rPr>
        <i/>
        <sz val="11"/>
        <rFont val="Calibri"/>
        <family val="2"/>
        <charset val="1"/>
      </rPr>
      <t>ex</t>
    </r>
    <r>
      <rPr>
        <sz val="11"/>
        <rFont val="Calibri"/>
        <family val="2"/>
        <charset val="1"/>
      </rPr>
      <t xml:space="preserve"> art. 4 DL 16/2014 di anni precedenti: rate dal 3° al 7° anno</t>
    </r>
  </si>
  <si>
    <t>totale istituti stabili</t>
  </si>
  <si>
    <t>costituzione variabile</t>
  </si>
  <si>
    <t>15c2 CCNL 1999</t>
  </si>
  <si>
    <t>15C5 CCNL 1999</t>
  </si>
  <si>
    <t>riconduzione al 2016</t>
  </si>
  <si>
    <t>residuo anno precedente</t>
  </si>
  <si>
    <t>residuo straordinari anno precedente</t>
  </si>
  <si>
    <t>totale variabile</t>
  </si>
  <si>
    <t>totali fondo</t>
  </si>
  <si>
    <t>residuo stabile</t>
  </si>
  <si>
    <t>totale spendibile (residuo stabile + variabile)</t>
  </si>
  <si>
    <t>impieghi variabili</t>
  </si>
  <si>
    <t>incarichi di responsabilità</t>
  </si>
  <si>
    <t>6 mesi nel 2019</t>
  </si>
  <si>
    <t>indennità di funzione PL</t>
  </si>
  <si>
    <t>maneggio valori</t>
  </si>
  <si>
    <t>rischio (nel 2017 insieme al disagio)</t>
  </si>
  <si>
    <t>disagio</t>
  </si>
  <si>
    <t>indennità condizioni lavoro</t>
  </si>
  <si>
    <t>servizio esterno PL</t>
  </si>
  <si>
    <t>turno</t>
  </si>
  <si>
    <t>reperibilità</t>
  </si>
  <si>
    <t>produttività da sponsorizzazioni</t>
  </si>
  <si>
    <r>
      <rPr>
        <sz val="11"/>
        <rFont val="Calibri"/>
        <family val="2"/>
        <charset val="1"/>
      </rPr>
      <t xml:space="preserve">premi di </t>
    </r>
    <r>
      <rPr>
        <i/>
        <sz val="11"/>
        <rFont val="Calibri"/>
        <family val="2"/>
        <charset val="1"/>
      </rPr>
      <t>performance</t>
    </r>
    <r>
      <rPr>
        <sz val="11"/>
        <rFont val="Calibri"/>
        <family val="2"/>
        <charset val="1"/>
      </rPr>
      <t>(collettiva)</t>
    </r>
  </si>
  <si>
    <t>totale istituti variabili</t>
  </si>
  <si>
    <t>residuo</t>
  </si>
  <si>
    <t>non spendibile</t>
  </si>
  <si>
    <t>cessazioni programmate - RECUPERI PEO E COMPARTO</t>
  </si>
  <si>
    <t>NOMINATIVO</t>
  </si>
  <si>
    <t>POS. EC. (E POS. INIZIALE)</t>
  </si>
  <si>
    <t>DATA CESSAZIONE (ultimo giorno di lavoro)</t>
  </si>
  <si>
    <t>PEO ANNUA (CCNL 2016/18)</t>
  </si>
  <si>
    <t>INDENNITA' DI COMPARTO ANNUA (quota fondo)</t>
  </si>
  <si>
    <t>ANNO 2019</t>
  </si>
  <si>
    <t>ANNO 2020</t>
  </si>
  <si>
    <t>ANNO 2021</t>
  </si>
  <si>
    <t>ANNO 2022</t>
  </si>
  <si>
    <t>Modesti Lino</t>
  </si>
  <si>
    <t>C3</t>
  </si>
  <si>
    <t>Di Pietro Guerino</t>
  </si>
  <si>
    <t>B3 (B1)</t>
  </si>
  <si>
    <t>Renzi Gianfranco</t>
  </si>
  <si>
    <t>B4 (B1)</t>
  </si>
  <si>
    <t>Di Domenicantonio Gabriele</t>
  </si>
  <si>
    <t>B2</t>
  </si>
  <si>
    <t>Di Filippantonio Franco</t>
  </si>
  <si>
    <t>B4 (B3)</t>
  </si>
  <si>
    <t>Reggimenti Angelo</t>
  </si>
  <si>
    <t>D1</t>
  </si>
  <si>
    <t>Di Domenico Marcello</t>
  </si>
  <si>
    <t>Mercante Nicola</t>
  </si>
  <si>
    <t>Tulini Mario</t>
  </si>
  <si>
    <t>Matalucci Marcello</t>
  </si>
  <si>
    <t>B5 (B3)</t>
  </si>
  <si>
    <t>Giansante Angelo</t>
  </si>
  <si>
    <t>B3 (B3)</t>
  </si>
  <si>
    <t>Di Filippo Felice</t>
  </si>
  <si>
    <t>B6 (B3)</t>
  </si>
  <si>
    <t>Cecchini Rita</t>
  </si>
  <si>
    <t>Romualdi Dante</t>
  </si>
  <si>
    <t>Di Giuseppe Adamo</t>
  </si>
  <si>
    <t>Procaccia Fabio</t>
  </si>
  <si>
    <t>Amorosi Salvatore</t>
  </si>
  <si>
    <t>totali per anno</t>
  </si>
  <si>
    <t>ingressi - INCREMENTO SPESA PEO E COMPARTO</t>
  </si>
  <si>
    <t>CAT / POS EC</t>
  </si>
  <si>
    <r>
      <rPr>
        <b/>
        <sz val="10"/>
        <rFont val="Calibri"/>
        <family val="2"/>
        <charset val="1"/>
      </rPr>
      <t xml:space="preserve">DATA ENTRATA </t>
    </r>
    <r>
      <rPr>
        <b/>
        <sz val="10"/>
        <color rgb="FFFF0000"/>
        <rFont val="Calibri"/>
        <family val="2"/>
        <charset val="1"/>
      </rPr>
      <t>(ipotesi 01/10/19)</t>
    </r>
  </si>
  <si>
    <t>C</t>
  </si>
  <si>
    <t>D</t>
  </si>
  <si>
    <t>B1</t>
  </si>
  <si>
    <t>differenza cessazioni/ingressi</t>
  </si>
  <si>
    <t>cessazioni programmate - RECUPERI RIA E AD PERSONAM</t>
  </si>
  <si>
    <t>RIA</t>
  </si>
  <si>
    <t>AD PERSONAM</t>
  </si>
  <si>
    <t>Pennacchioni</t>
  </si>
  <si>
    <t>B6 (B1)</t>
  </si>
  <si>
    <t>Panetta</t>
  </si>
  <si>
    <t>D6 (D3)</t>
  </si>
  <si>
    <t>Salvati</t>
  </si>
  <si>
    <t>Feliziani</t>
  </si>
  <si>
    <t>C5</t>
  </si>
  <si>
    <t>totali complessivi</t>
  </si>
  <si>
    <t>PERSONALE IN SERVIZIO</t>
  </si>
  <si>
    <t>NN.</t>
  </si>
  <si>
    <t>IMPORTO A CARICO DEL BILANCIO
(QUOTA A)</t>
  </si>
  <si>
    <t>TOTALE A CARICO DEL BILANCIO</t>
  </si>
  <si>
    <t xml:space="preserve">IMPORTO A CARICO DEL FONDO          (QUOTE B / C) </t>
  </si>
  <si>
    <t>TOTALE A CARICO DEL FONDO</t>
  </si>
  <si>
    <t>Cat. D</t>
  </si>
  <si>
    <t>Cat. C</t>
  </si>
  <si>
    <t>Cat. B</t>
  </si>
  <si>
    <t>Cat. A</t>
  </si>
  <si>
    <t>Categoria e posizione econmica</t>
  </si>
  <si>
    <t>Retribuzione tabellare a regime per 12 mensilità</t>
  </si>
  <si>
    <t>incremento orizzontale per 12 mensilità</t>
  </si>
  <si>
    <t>incremento orizzontale per 13 mensilità</t>
  </si>
  <si>
    <t>aventi diritto 2018</t>
  </si>
  <si>
    <t>n. passaggi 2018</t>
  </si>
  <si>
    <t>spesa sul fondo 2018</t>
  </si>
  <si>
    <t>aventi diritto 2019</t>
  </si>
  <si>
    <t>n. passaggi 2019</t>
  </si>
  <si>
    <t>spesa sul fondo 2019</t>
  </si>
  <si>
    <t>aventi diritto 2020</t>
  </si>
  <si>
    <t>n. passaggi 2020</t>
  </si>
  <si>
    <t>spesa sul fondo 2020</t>
  </si>
  <si>
    <t>D7</t>
  </si>
  <si>
    <t>D6</t>
  </si>
  <si>
    <t>D5</t>
  </si>
  <si>
    <t>D4</t>
  </si>
  <si>
    <t>D3G</t>
  </si>
  <si>
    <t>D3</t>
  </si>
  <si>
    <t>D2</t>
  </si>
  <si>
    <t>C6</t>
  </si>
  <si>
    <t>C4</t>
  </si>
  <si>
    <t>C2</t>
  </si>
  <si>
    <t>C1</t>
  </si>
  <si>
    <t>B8</t>
  </si>
  <si>
    <t>B7</t>
  </si>
  <si>
    <t>B6</t>
  </si>
  <si>
    <t>B5</t>
  </si>
  <si>
    <t>B4</t>
  </si>
  <si>
    <t>B3G</t>
  </si>
  <si>
    <t>B3</t>
  </si>
  <si>
    <t>A6</t>
  </si>
  <si>
    <t>A5</t>
  </si>
  <si>
    <t>A4</t>
  </si>
  <si>
    <t>A3</t>
  </si>
  <si>
    <t>A2</t>
  </si>
  <si>
    <t>A1</t>
  </si>
  <si>
    <t>totale</t>
  </si>
  <si>
    <t>tot. per anno</t>
  </si>
  <si>
    <t>tot. 2018+2019</t>
  </si>
  <si>
    <t>tot. 2018+2019+2020</t>
  </si>
  <si>
    <t>n. passaggi</t>
  </si>
  <si>
    <t>spesa sul fondo</t>
  </si>
  <si>
    <t>n. passaggi rispetto a 1 pass. da D2 a D3</t>
  </si>
  <si>
    <t>giorni anno (orario di lavoro su 5 giorni settimanali)</t>
  </si>
  <si>
    <t>n. vigili</t>
  </si>
  <si>
    <t>euro/giorno</t>
  </si>
  <si>
    <t>incremento per posizione per 12 mensilità</t>
  </si>
  <si>
    <t>incremento per posizione per 13 mensilità</t>
  </si>
  <si>
    <t>incremento complessivo rispetto alla iniziale</t>
  </si>
  <si>
    <t>dipendenti anno 2018</t>
  </si>
  <si>
    <t>dipendenti  anno 2019</t>
  </si>
  <si>
    <t>dipendenti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</si>
</sst>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 &quot;* #,##0.00_-;&quot;-€ &quot;* #,##0.00_-;_-&quot;€ &quot;* \-??_-;_-@_-"/>
    <numFmt numFmtId="165" formatCode="&quot;€ &quot;#,##0.00"/>
    <numFmt numFmtId="166" formatCode="&quot;€ &quot;#,##0.00;&quot;-€ &quot;#,##0.00"/>
    <numFmt numFmtId="167" formatCode="dd/mm/yy"/>
    <numFmt numFmtId="168" formatCode="_-* #,##0.00_-;\-* #,##0.00_-;_-* \-??_-;_-@_-"/>
  </numFmts>
  <fonts count="20" x14ac:knownFonts="1">
    <font>
      <sz val="10"/>
      <name val="Arial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Arial"/>
      <charset val="1"/>
    </font>
  </fonts>
  <fills count="18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99CCFF"/>
        <bgColor rgb="FFCCCCFF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99CC00"/>
        <bgColor rgb="FFFFCC00"/>
      </patternFill>
    </fill>
    <fill>
      <patternFill patternType="solid">
        <fgColor rgb="FF808080"/>
        <bgColor rgb="FF969696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8" fontId="19" fillId="0" borderId="0" applyBorder="0" applyProtection="0"/>
    <xf numFmtId="164" fontId="19" fillId="0" borderId="0" applyBorder="0" applyProtection="0"/>
    <xf numFmtId="0" fontId="1" fillId="0" borderId="0"/>
    <xf numFmtId="0" fontId="1" fillId="0" borderId="0"/>
  </cellStyleXfs>
  <cellXfs count="312">
    <xf numFmtId="0" fontId="0" fillId="0" borderId="0" xfId="0"/>
    <xf numFmtId="0" fontId="15" fillId="0" borderId="0" xfId="4" applyFont="1" applyBorder="1" applyAlignment="1">
      <alignment horizontal="right"/>
    </xf>
    <xf numFmtId="0" fontId="15" fillId="0" borderId="39" xfId="3" applyFont="1" applyBorder="1" applyAlignment="1">
      <alignment horizontal="right"/>
    </xf>
    <xf numFmtId="4" fontId="10" fillId="5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 applyProtection="1">
      <alignment horizontal="righ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right" vertical="center"/>
    </xf>
    <xf numFmtId="166" fontId="3" fillId="0" borderId="0" xfId="2" applyNumberFormat="1" applyFont="1" applyBorder="1" applyAlignment="1" applyProtection="1">
      <alignment horizontal="right" vertical="center"/>
    </xf>
    <xf numFmtId="165" fontId="3" fillId="0" borderId="0" xfId="2" applyNumberFormat="1" applyFont="1" applyBorder="1" applyAlignment="1" applyProtection="1">
      <alignment horizontal="right" vertical="center"/>
    </xf>
    <xf numFmtId="49" fontId="2" fillId="0" borderId="5" xfId="0" applyNumberFormat="1" applyFont="1" applyBorder="1" applyAlignment="1">
      <alignment vertical="center"/>
    </xf>
    <xf numFmtId="166" fontId="2" fillId="0" borderId="0" xfId="2" applyNumberFormat="1" applyFont="1" applyBorder="1" applyAlignment="1" applyProtection="1">
      <alignment horizontal="right" vertical="center"/>
    </xf>
    <xf numFmtId="166" fontId="2" fillId="0" borderId="1" xfId="2" applyNumberFormat="1" applyFont="1" applyBorder="1" applyAlignment="1" applyProtection="1">
      <alignment horizontal="right" vertical="center"/>
    </xf>
    <xf numFmtId="165" fontId="4" fillId="3" borderId="6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vertical="center"/>
    </xf>
    <xf numFmtId="165" fontId="4" fillId="3" borderId="7" xfId="2" applyNumberFormat="1" applyFont="1" applyFill="1" applyBorder="1" applyAlignment="1" applyProtection="1">
      <alignment horizontal="right" vertical="center"/>
    </xf>
    <xf numFmtId="166" fontId="2" fillId="0" borderId="4" xfId="2" applyNumberFormat="1" applyFont="1" applyBorder="1" applyAlignment="1" applyProtection="1">
      <alignment horizontal="right" vertical="center"/>
    </xf>
    <xf numFmtId="165" fontId="4" fillId="3" borderId="4" xfId="2" applyNumberFormat="1" applyFont="1" applyFill="1" applyBorder="1" applyAlignment="1" applyProtection="1">
      <alignment horizontal="right" vertical="center"/>
    </xf>
    <xf numFmtId="49" fontId="2" fillId="0" borderId="8" xfId="0" applyNumberFormat="1" applyFont="1" applyBorder="1" applyAlignment="1">
      <alignment vertical="center"/>
    </xf>
    <xf numFmtId="0" fontId="2" fillId="2" borderId="4" xfId="2" applyNumberFormat="1" applyFont="1" applyFill="1" applyBorder="1" applyAlignment="1" applyProtection="1">
      <alignment horizontal="right" vertical="center"/>
    </xf>
    <xf numFmtId="165" fontId="2" fillId="0" borderId="0" xfId="2" applyNumberFormat="1" applyFont="1" applyBorder="1" applyAlignment="1" applyProtection="1">
      <alignment horizontal="right" vertical="center"/>
    </xf>
    <xf numFmtId="165" fontId="2" fillId="2" borderId="9" xfId="2" applyNumberFormat="1" applyFont="1" applyFill="1" applyBorder="1" applyAlignment="1" applyProtection="1">
      <alignment horizontal="right" vertical="center"/>
    </xf>
    <xf numFmtId="49" fontId="3" fillId="0" borderId="10" xfId="2" applyNumberFormat="1" applyFont="1" applyBorder="1" applyAlignment="1" applyProtection="1">
      <alignment vertical="center"/>
    </xf>
    <xf numFmtId="165" fontId="3" fillId="0" borderId="6" xfId="2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vertical="center"/>
    </xf>
    <xf numFmtId="165" fontId="4" fillId="0" borderId="6" xfId="2" applyNumberFormat="1" applyFont="1" applyBorder="1" applyAlignment="1" applyProtection="1">
      <alignment vertical="center"/>
    </xf>
    <xf numFmtId="10" fontId="3" fillId="0" borderId="6" xfId="2" applyNumberFormat="1" applyFont="1" applyBorder="1" applyAlignment="1" applyProtection="1">
      <alignment horizontal="center" vertical="center"/>
    </xf>
    <xf numFmtId="49" fontId="3" fillId="5" borderId="11" xfId="2" applyNumberFormat="1" applyFont="1" applyFill="1" applyBorder="1" applyAlignment="1" applyProtection="1">
      <alignment vertical="center"/>
    </xf>
    <xf numFmtId="165" fontId="3" fillId="5" borderId="7" xfId="2" applyNumberFormat="1" applyFont="1" applyFill="1" applyBorder="1" applyAlignment="1" applyProtection="1">
      <alignment vertical="center"/>
    </xf>
    <xf numFmtId="10" fontId="3" fillId="5" borderId="7" xfId="2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49" fontId="3" fillId="5" borderId="12" xfId="2" applyNumberFormat="1" applyFont="1" applyFill="1" applyBorder="1" applyAlignment="1" applyProtection="1">
      <alignment vertical="center"/>
    </xf>
    <xf numFmtId="165" fontId="3" fillId="6" borderId="13" xfId="2" applyNumberFormat="1" applyFont="1" applyFill="1" applyBorder="1" applyAlignment="1" applyProtection="1">
      <alignment vertical="center"/>
    </xf>
    <xf numFmtId="165" fontId="5" fillId="5" borderId="13" xfId="2" applyNumberFormat="1" applyFont="1" applyFill="1" applyBorder="1" applyAlignment="1" applyProtection="1">
      <alignment vertical="center"/>
    </xf>
    <xf numFmtId="10" fontId="3" fillId="5" borderId="13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Border="1" applyAlignment="1" applyProtection="1">
      <alignment vertical="center"/>
    </xf>
    <xf numFmtId="165" fontId="3" fillId="0" borderId="0" xfId="2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horizontal="center" vertical="center"/>
    </xf>
    <xf numFmtId="10" fontId="3" fillId="0" borderId="0" xfId="2" applyNumberFormat="1" applyFont="1" applyBorder="1" applyAlignment="1" applyProtection="1">
      <alignment horizontal="center" vertical="center"/>
    </xf>
    <xf numFmtId="165" fontId="6" fillId="0" borderId="0" xfId="2" applyNumberFormat="1" applyFont="1" applyBorder="1" applyAlignment="1" applyProtection="1">
      <alignment vertical="center"/>
    </xf>
    <xf numFmtId="166" fontId="2" fillId="7" borderId="14" xfId="2" applyNumberFormat="1" applyFont="1" applyFill="1" applyBorder="1" applyAlignment="1" applyProtection="1">
      <alignment horizontal="right" vertical="center"/>
    </xf>
    <xf numFmtId="165" fontId="4" fillId="5" borderId="1" xfId="2" applyNumberFormat="1" applyFont="1" applyFill="1" applyBorder="1" applyAlignment="1" applyProtection="1">
      <alignment vertical="center"/>
    </xf>
    <xf numFmtId="10" fontId="3" fillId="5" borderId="1" xfId="2" applyNumberFormat="1" applyFont="1" applyFill="1" applyBorder="1" applyAlignment="1" applyProtection="1">
      <alignment horizontal="center" vertical="center"/>
    </xf>
    <xf numFmtId="49" fontId="4" fillId="3" borderId="6" xfId="2" applyNumberFormat="1" applyFont="1" applyFill="1" applyBorder="1" applyAlignment="1" applyProtection="1">
      <alignment horizontal="left" vertical="center"/>
    </xf>
    <xf numFmtId="165" fontId="4" fillId="6" borderId="6" xfId="2" applyNumberFormat="1" applyFont="1" applyFill="1" applyBorder="1" applyAlignment="1" applyProtection="1">
      <alignment vertical="center"/>
    </xf>
    <xf numFmtId="49" fontId="3" fillId="0" borderId="11" xfId="2" applyNumberFormat="1" applyFont="1" applyBorder="1" applyAlignment="1" applyProtection="1">
      <alignment vertical="center" wrapText="1"/>
    </xf>
    <xf numFmtId="165" fontId="3" fillId="0" borderId="15" xfId="2" applyNumberFormat="1" applyFont="1" applyBorder="1" applyAlignment="1" applyProtection="1">
      <alignment vertical="center"/>
    </xf>
    <xf numFmtId="165" fontId="3" fillId="0" borderId="16" xfId="2" applyNumberFormat="1" applyFont="1" applyBorder="1" applyAlignment="1" applyProtection="1">
      <alignment vertical="center"/>
    </xf>
    <xf numFmtId="49" fontId="4" fillId="8" borderId="12" xfId="2" applyNumberFormat="1" applyFont="1" applyFill="1" applyBorder="1" applyAlignment="1" applyProtection="1">
      <alignment vertical="center" wrapText="1"/>
    </xf>
    <xf numFmtId="165" fontId="4" fillId="8" borderId="13" xfId="2" applyNumberFormat="1" applyFont="1" applyFill="1" applyBorder="1" applyAlignment="1" applyProtection="1">
      <alignment vertical="center"/>
    </xf>
    <xf numFmtId="10" fontId="3" fillId="0" borderId="13" xfId="2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1" xfId="2" applyNumberFormat="1" applyFont="1" applyBorder="1" applyAlignment="1" applyProtection="1">
      <alignment horizontal="right" vertical="center"/>
    </xf>
    <xf numFmtId="165" fontId="2" fillId="2" borderId="1" xfId="2" applyNumberFormat="1" applyFont="1" applyFill="1" applyBorder="1" applyAlignment="1" applyProtection="1">
      <alignment vertical="center"/>
    </xf>
    <xf numFmtId="165" fontId="2" fillId="0" borderId="0" xfId="2" applyNumberFormat="1" applyFont="1" applyBorder="1" applyAlignment="1" applyProtection="1">
      <alignment vertical="center"/>
    </xf>
    <xf numFmtId="165" fontId="2" fillId="2" borderId="4" xfId="2" applyNumberFormat="1" applyFont="1" applyFill="1" applyBorder="1" applyAlignment="1" applyProtection="1">
      <alignment vertical="center"/>
    </xf>
    <xf numFmtId="49" fontId="3" fillId="9" borderId="0" xfId="0" applyNumberFormat="1" applyFont="1" applyFill="1" applyBorder="1" applyAlignment="1">
      <alignment vertical="center"/>
    </xf>
    <xf numFmtId="49" fontId="2" fillId="9" borderId="0" xfId="2" applyNumberFormat="1" applyFont="1" applyFill="1" applyBorder="1" applyAlignment="1" applyProtection="1">
      <alignment horizontal="right" vertical="center"/>
    </xf>
    <xf numFmtId="165" fontId="2" fillId="9" borderId="0" xfId="2" applyNumberFormat="1" applyFont="1" applyFill="1" applyBorder="1" applyAlignment="1" applyProtection="1">
      <alignment vertical="center"/>
    </xf>
    <xf numFmtId="49" fontId="3" fillId="0" borderId="6" xfId="0" applyNumberFormat="1" applyFont="1" applyBorder="1" applyAlignment="1">
      <alignment vertical="center"/>
    </xf>
    <xf numFmtId="165" fontId="4" fillId="0" borderId="0" xfId="2" applyNumberFormat="1" applyFont="1" applyBorder="1" applyAlignment="1" applyProtection="1">
      <alignment vertical="center"/>
    </xf>
    <xf numFmtId="49" fontId="4" fillId="0" borderId="7" xfId="0" applyNumberFormat="1" applyFont="1" applyBorder="1" applyAlignment="1">
      <alignment vertical="center"/>
    </xf>
    <xf numFmtId="165" fontId="4" fillId="0" borderId="7" xfId="2" applyNumberFormat="1" applyFont="1" applyBorder="1" applyAlignment="1" applyProtection="1">
      <alignment vertical="center"/>
    </xf>
    <xf numFmtId="166" fontId="4" fillId="0" borderId="0" xfId="2" applyNumberFormat="1" applyFont="1" applyBorder="1" applyAlignment="1" applyProtection="1">
      <alignment vertical="center"/>
    </xf>
    <xf numFmtId="49" fontId="3" fillId="0" borderId="7" xfId="0" applyNumberFormat="1" applyFont="1" applyBorder="1" applyAlignment="1">
      <alignment vertical="center" wrapText="1"/>
    </xf>
    <xf numFmtId="165" fontId="3" fillId="0" borderId="7" xfId="2" applyNumberFormat="1" applyFont="1" applyBorder="1" applyAlignment="1" applyProtection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165" fontId="3" fillId="0" borderId="13" xfId="2" applyNumberFormat="1" applyFont="1" applyBorder="1" applyAlignment="1" applyProtection="1">
      <alignment vertical="center"/>
    </xf>
    <xf numFmtId="49" fontId="2" fillId="0" borderId="1" xfId="0" applyNumberFormat="1" applyFont="1" applyBorder="1" applyAlignment="1">
      <alignment horizontal="right" vertical="center"/>
    </xf>
    <xf numFmtId="165" fontId="2" fillId="7" borderId="1" xfId="2" applyNumberFormat="1" applyFont="1" applyFill="1" applyBorder="1" applyAlignment="1" applyProtection="1">
      <alignment vertical="center"/>
    </xf>
    <xf numFmtId="165" fontId="2" fillId="7" borderId="9" xfId="2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>
      <alignment horizontal="right" vertical="center"/>
    </xf>
    <xf numFmtId="165" fontId="2" fillId="11" borderId="4" xfId="2" applyNumberFormat="1" applyFont="1" applyFill="1" applyBorder="1" applyAlignment="1" applyProtection="1">
      <alignment vertical="center"/>
    </xf>
    <xf numFmtId="0" fontId="2" fillId="11" borderId="1" xfId="2" applyNumberFormat="1" applyFont="1" applyFill="1" applyBorder="1" applyAlignment="1" applyProtection="1">
      <alignment horizontal="center" vertical="center"/>
    </xf>
    <xf numFmtId="165" fontId="2" fillId="11" borderId="1" xfId="2" applyNumberFormat="1" applyFont="1" applyFill="1" applyBorder="1" applyAlignment="1" applyProtection="1">
      <alignment vertical="center"/>
    </xf>
    <xf numFmtId="166" fontId="2" fillId="0" borderId="0" xfId="2" applyNumberFormat="1" applyFont="1" applyBorder="1" applyAlignment="1" applyProtection="1">
      <alignment vertical="center"/>
    </xf>
    <xf numFmtId="165" fontId="2" fillId="3" borderId="16" xfId="2" applyNumberFormat="1" applyFont="1" applyFill="1" applyBorder="1" applyAlignment="1" applyProtection="1">
      <alignment vertical="center"/>
    </xf>
    <xf numFmtId="166" fontId="2" fillId="0" borderId="16" xfId="2" applyNumberFormat="1" applyFont="1" applyBorder="1" applyAlignment="1" applyProtection="1">
      <alignment vertical="center"/>
    </xf>
    <xf numFmtId="165" fontId="2" fillId="3" borderId="1" xfId="2" applyNumberFormat="1" applyFont="1" applyFill="1" applyBorder="1" applyAlignment="1" applyProtection="1">
      <alignment vertical="center"/>
    </xf>
    <xf numFmtId="49" fontId="4" fillId="0" borderId="6" xfId="0" applyNumberFormat="1" applyFont="1" applyBorder="1" applyAlignment="1">
      <alignment vertical="center"/>
    </xf>
    <xf numFmtId="166" fontId="4" fillId="0" borderId="0" xfId="2" applyNumberFormat="1" applyFont="1" applyBorder="1" applyAlignment="1" applyProtection="1">
      <alignment horizontal="center" vertical="center"/>
    </xf>
    <xf numFmtId="10" fontId="4" fillId="0" borderId="6" xfId="2" applyNumberFormat="1" applyFont="1" applyBorder="1" applyAlignment="1" applyProtection="1">
      <alignment horizontal="center" vertical="center"/>
    </xf>
    <xf numFmtId="165" fontId="5" fillId="0" borderId="17" xfId="2" applyNumberFormat="1" applyFont="1" applyBorder="1" applyAlignment="1" applyProtection="1">
      <alignment vertical="center"/>
    </xf>
    <xf numFmtId="165" fontId="5" fillId="0" borderId="6" xfId="2" applyNumberFormat="1" applyFont="1" applyBorder="1" applyAlignment="1" applyProtection="1">
      <alignment vertical="center"/>
    </xf>
    <xf numFmtId="49" fontId="4" fillId="0" borderId="18" xfId="0" applyNumberFormat="1" applyFont="1" applyBorder="1" applyAlignment="1">
      <alignment vertical="center"/>
    </xf>
    <xf numFmtId="165" fontId="4" fillId="12" borderId="18" xfId="2" applyNumberFormat="1" applyFont="1" applyFill="1" applyBorder="1" applyAlignment="1" applyProtection="1">
      <alignment vertical="center"/>
    </xf>
    <xf numFmtId="165" fontId="4" fillId="12" borderId="7" xfId="2" applyNumberFormat="1" applyFont="1" applyFill="1" applyBorder="1" applyAlignment="1" applyProtection="1">
      <alignment vertical="center"/>
    </xf>
    <xf numFmtId="165" fontId="5" fillId="0" borderId="19" xfId="2" applyNumberFormat="1" applyFont="1" applyBorder="1" applyAlignment="1" applyProtection="1">
      <alignment vertical="center"/>
    </xf>
    <xf numFmtId="10" fontId="4" fillId="0" borderId="7" xfId="2" applyNumberFormat="1" applyFont="1" applyBorder="1" applyAlignment="1" applyProtection="1">
      <alignment horizontal="center" vertical="center"/>
    </xf>
    <xf numFmtId="165" fontId="5" fillId="0" borderId="18" xfId="2" applyNumberFormat="1" applyFont="1" applyBorder="1" applyAlignment="1" applyProtection="1">
      <alignment vertical="center"/>
    </xf>
    <xf numFmtId="165" fontId="4" fillId="0" borderId="20" xfId="2" applyNumberFormat="1" applyFont="1" applyBorder="1" applyAlignment="1" applyProtection="1">
      <alignment vertical="center"/>
    </xf>
    <xf numFmtId="165" fontId="4" fillId="12" borderId="20" xfId="2" applyNumberFormat="1" applyFont="1" applyFill="1" applyBorder="1" applyAlignment="1" applyProtection="1">
      <alignment vertical="center"/>
    </xf>
    <xf numFmtId="165" fontId="4" fillId="0" borderId="21" xfId="2" applyNumberFormat="1" applyFont="1" applyBorder="1" applyAlignment="1" applyProtection="1">
      <alignment vertical="center"/>
    </xf>
    <xf numFmtId="165" fontId="4" fillId="12" borderId="21" xfId="2" applyNumberFormat="1" applyFont="1" applyFill="1" applyBorder="1" applyAlignment="1" applyProtection="1">
      <alignment vertical="center"/>
    </xf>
    <xf numFmtId="165" fontId="4" fillId="12" borderId="15" xfId="2" applyNumberFormat="1" applyFont="1" applyFill="1" applyBorder="1" applyAlignment="1" applyProtection="1">
      <alignment vertical="center"/>
    </xf>
    <xf numFmtId="49" fontId="4" fillId="0" borderId="7" xfId="0" applyNumberFormat="1" applyFont="1" applyBorder="1" applyAlignment="1">
      <alignment vertical="center" wrapText="1"/>
    </xf>
    <xf numFmtId="165" fontId="5" fillId="0" borderId="20" xfId="2" applyNumberFormat="1" applyFont="1" applyBorder="1" applyAlignment="1" applyProtection="1">
      <alignment vertical="center"/>
    </xf>
    <xf numFmtId="165" fontId="5" fillId="0" borderId="7" xfId="2" applyNumberFormat="1" applyFont="1" applyBorder="1" applyAlignment="1" applyProtection="1">
      <alignment vertical="center"/>
    </xf>
    <xf numFmtId="166" fontId="8" fillId="0" borderId="0" xfId="2" applyNumberFormat="1" applyFont="1" applyBorder="1" applyAlignment="1" applyProtection="1">
      <alignment vertical="center"/>
    </xf>
    <xf numFmtId="49" fontId="4" fillId="0" borderId="15" xfId="0" applyNumberFormat="1" applyFont="1" applyBorder="1" applyAlignment="1">
      <alignment vertical="center" wrapText="1"/>
    </xf>
    <xf numFmtId="165" fontId="4" fillId="0" borderId="15" xfId="2" applyNumberFormat="1" applyFont="1" applyBorder="1" applyAlignment="1" applyProtection="1">
      <alignment vertical="center"/>
    </xf>
    <xf numFmtId="165" fontId="5" fillId="0" borderId="21" xfId="2" applyNumberFormat="1" applyFont="1" applyBorder="1" applyAlignment="1" applyProtection="1">
      <alignment vertical="center"/>
    </xf>
    <xf numFmtId="165" fontId="5" fillId="0" borderId="15" xfId="2" applyNumberFormat="1" applyFont="1" applyBorder="1" applyAlignment="1" applyProtection="1">
      <alignment vertical="center"/>
    </xf>
    <xf numFmtId="49" fontId="4" fillId="0" borderId="13" xfId="0" applyNumberFormat="1" applyFont="1" applyBorder="1" applyAlignment="1">
      <alignment vertical="center" wrapText="1"/>
    </xf>
    <xf numFmtId="165" fontId="4" fillId="0" borderId="13" xfId="2" applyNumberFormat="1" applyFont="1" applyBorder="1" applyAlignment="1" applyProtection="1">
      <alignment vertical="center"/>
    </xf>
    <xf numFmtId="166" fontId="4" fillId="0" borderId="0" xfId="2" applyNumberFormat="1" applyFont="1" applyBorder="1" applyAlignment="1" applyProtection="1">
      <alignment horizontal="right" vertical="center"/>
    </xf>
    <xf numFmtId="10" fontId="4" fillId="0" borderId="13" xfId="2" applyNumberFormat="1" applyFont="1" applyBorder="1" applyAlignment="1" applyProtection="1">
      <alignment horizontal="center" vertical="center"/>
    </xf>
    <xf numFmtId="165" fontId="5" fillId="0" borderId="22" xfId="2" applyNumberFormat="1" applyFont="1" applyBorder="1" applyAlignment="1" applyProtection="1">
      <alignment vertical="center"/>
    </xf>
    <xf numFmtId="165" fontId="5" fillId="0" borderId="13" xfId="2" applyNumberFormat="1" applyFont="1" applyBorder="1" applyAlignment="1" applyProtection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165" fontId="6" fillId="0" borderId="0" xfId="2" applyNumberFormat="1" applyFont="1" applyBorder="1" applyAlignment="1" applyProtection="1">
      <alignment horizontal="right" vertical="center"/>
    </xf>
    <xf numFmtId="10" fontId="6" fillId="0" borderId="0" xfId="2" applyNumberFormat="1" applyFont="1" applyBorder="1" applyAlignment="1" applyProtection="1">
      <alignment horizontal="center" vertical="center"/>
    </xf>
    <xf numFmtId="10" fontId="9" fillId="13" borderId="1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165" fontId="2" fillId="14" borderId="1" xfId="2" applyNumberFormat="1" applyFont="1" applyFill="1" applyBorder="1" applyAlignment="1" applyProtection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/>
    </xf>
    <xf numFmtId="49" fontId="10" fillId="3" borderId="23" xfId="0" applyNumberFormat="1" applyFont="1" applyFill="1" applyBorder="1" applyAlignment="1">
      <alignment horizontal="center" vertical="center" wrapText="1"/>
    </xf>
    <xf numFmtId="49" fontId="10" fillId="15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/>
    </xf>
    <xf numFmtId="167" fontId="10" fillId="0" borderId="2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" fontId="10" fillId="3" borderId="23" xfId="0" applyNumberFormat="1" applyFont="1" applyFill="1" applyBorder="1" applyAlignment="1">
      <alignment horizontal="center" vertical="center" wrapText="1"/>
    </xf>
    <xf numFmtId="4" fontId="10" fillId="15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vertical="center"/>
    </xf>
    <xf numFmtId="49" fontId="11" fillId="0" borderId="24" xfId="0" applyNumberFormat="1" applyFont="1" applyBorder="1" applyAlignment="1">
      <alignment horizontal="center" vertical="center"/>
    </xf>
    <xf numFmtId="167" fontId="10" fillId="0" borderId="24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4" fontId="10" fillId="3" borderId="24" xfId="0" applyNumberFormat="1" applyFont="1" applyFill="1" applyBorder="1" applyAlignment="1">
      <alignment horizontal="center" vertical="center" wrapText="1"/>
    </xf>
    <xf numFmtId="4" fontId="10" fillId="15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167" fontId="10" fillId="0" borderId="25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4" fontId="10" fillId="6" borderId="25" xfId="0" applyNumberFormat="1" applyFont="1" applyFill="1" applyBorder="1" applyAlignment="1">
      <alignment horizontal="center" vertical="center" wrapText="1"/>
    </xf>
    <xf numFmtId="4" fontId="10" fillId="3" borderId="25" xfId="0" applyNumberFormat="1" applyFont="1" applyFill="1" applyBorder="1" applyAlignment="1">
      <alignment horizontal="center" vertical="center" wrapText="1"/>
    </xf>
    <xf numFmtId="4" fontId="10" fillId="15" borderId="25" xfId="0" applyNumberFormat="1" applyFont="1" applyFill="1" applyBorder="1" applyAlignment="1">
      <alignment horizontal="center" vertical="center" wrapText="1"/>
    </xf>
    <xf numFmtId="4" fontId="10" fillId="6" borderId="23" xfId="0" applyNumberFormat="1" applyFont="1" applyFill="1" applyBorder="1" applyAlignment="1">
      <alignment horizontal="center" vertical="center" wrapText="1"/>
    </xf>
    <xf numFmtId="4" fontId="10" fillId="6" borderId="2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168" fontId="14" fillId="10" borderId="23" xfId="1" applyFont="1" applyFill="1" applyBorder="1" applyAlignment="1" applyProtection="1">
      <alignment vertical="center" wrapText="1"/>
    </xf>
    <xf numFmtId="168" fontId="14" fillId="3" borderId="23" xfId="1" applyFont="1" applyFill="1" applyBorder="1" applyAlignment="1" applyProtection="1">
      <alignment vertical="center" wrapText="1"/>
    </xf>
    <xf numFmtId="168" fontId="14" fillId="0" borderId="23" xfId="1" applyFont="1" applyBorder="1" applyAlignment="1" applyProtection="1">
      <alignment horizontal="right" vertical="center" wrapText="1"/>
    </xf>
    <xf numFmtId="0" fontId="1" fillId="0" borderId="0" xfId="3"/>
    <xf numFmtId="0" fontId="15" fillId="0" borderId="26" xfId="3" applyFont="1" applyBorder="1" applyAlignment="1">
      <alignment horizontal="center" vertical="center" wrapText="1"/>
    </xf>
    <xf numFmtId="0" fontId="15" fillId="0" borderId="27" xfId="3" applyFont="1" applyBorder="1" applyAlignment="1">
      <alignment horizontal="center" vertical="center" wrapText="1"/>
    </xf>
    <xf numFmtId="0" fontId="15" fillId="3" borderId="27" xfId="3" applyFont="1" applyFill="1" applyBorder="1" applyAlignment="1">
      <alignment horizontal="center" vertical="center" wrapText="1"/>
    </xf>
    <xf numFmtId="0" fontId="15" fillId="16" borderId="27" xfId="3" applyFont="1" applyFill="1" applyBorder="1" applyAlignment="1">
      <alignment horizontal="center" vertical="center" wrapText="1"/>
    </xf>
    <xf numFmtId="0" fontId="15" fillId="0" borderId="28" xfId="3" applyFont="1" applyBorder="1" applyAlignment="1">
      <alignment horizontal="center" vertical="center" wrapText="1"/>
    </xf>
    <xf numFmtId="0" fontId="16" fillId="0" borderId="29" xfId="3" applyFont="1" applyBorder="1" applyAlignment="1">
      <alignment horizontal="center" vertical="center" wrapText="1"/>
    </xf>
    <xf numFmtId="4" fontId="16" fillId="0" borderId="30" xfId="3" applyNumberFormat="1" applyFont="1" applyBorder="1" applyAlignment="1">
      <alignment horizontal="center" vertical="center"/>
    </xf>
    <xf numFmtId="4" fontId="15" fillId="3" borderId="30" xfId="3" applyNumberFormat="1" applyFont="1" applyFill="1" applyBorder="1" applyAlignment="1">
      <alignment horizontal="center" vertical="center"/>
    </xf>
    <xf numFmtId="1" fontId="16" fillId="12" borderId="30" xfId="3" applyNumberFormat="1" applyFont="1" applyFill="1" applyBorder="1" applyAlignment="1">
      <alignment horizontal="center" vertical="center"/>
    </xf>
    <xf numFmtId="0" fontId="16" fillId="16" borderId="30" xfId="3" applyFont="1" applyFill="1" applyBorder="1" applyAlignment="1">
      <alignment horizontal="center"/>
    </xf>
    <xf numFmtId="0" fontId="16" fillId="12" borderId="30" xfId="3" applyFont="1" applyFill="1" applyBorder="1" applyAlignment="1">
      <alignment horizontal="center"/>
    </xf>
    <xf numFmtId="4" fontId="16" fillId="0" borderId="31" xfId="3" applyNumberFormat="1" applyFont="1" applyBorder="1" applyAlignment="1">
      <alignment horizontal="center" vertical="center"/>
    </xf>
    <xf numFmtId="0" fontId="16" fillId="0" borderId="32" xfId="3" applyFont="1" applyBorder="1" applyAlignment="1">
      <alignment horizontal="center" vertical="center" wrapText="1"/>
    </xf>
    <xf numFmtId="4" fontId="16" fillId="0" borderId="23" xfId="3" applyNumberFormat="1" applyFont="1" applyBorder="1" applyAlignment="1">
      <alignment horizontal="center" vertical="center"/>
    </xf>
    <xf numFmtId="4" fontId="15" fillId="3" borderId="25" xfId="3" applyNumberFormat="1" applyFont="1" applyFill="1" applyBorder="1" applyAlignment="1">
      <alignment horizontal="center" vertical="center"/>
    </xf>
    <xf numFmtId="1" fontId="16" fillId="0" borderId="25" xfId="3" applyNumberFormat="1" applyFont="1" applyBorder="1" applyAlignment="1">
      <alignment horizontal="center" vertical="center"/>
    </xf>
    <xf numFmtId="0" fontId="16" fillId="16" borderId="33" xfId="3" applyFont="1" applyFill="1" applyBorder="1" applyAlignment="1">
      <alignment horizontal="center"/>
    </xf>
    <xf numFmtId="4" fontId="16" fillId="0" borderId="25" xfId="3" applyNumberFormat="1" applyFont="1" applyBorder="1" applyAlignment="1">
      <alignment horizontal="center" vertical="center"/>
    </xf>
    <xf numFmtId="0" fontId="16" fillId="0" borderId="25" xfId="3" applyFont="1" applyBorder="1" applyAlignment="1">
      <alignment horizontal="center"/>
    </xf>
    <xf numFmtId="0" fontId="16" fillId="16" borderId="25" xfId="3" applyFont="1" applyFill="1" applyBorder="1" applyAlignment="1">
      <alignment horizontal="center"/>
    </xf>
    <xf numFmtId="1" fontId="16" fillId="0" borderId="23" xfId="3" applyNumberFormat="1" applyFont="1" applyBorder="1" applyAlignment="1">
      <alignment horizontal="center" vertical="center"/>
    </xf>
    <xf numFmtId="4" fontId="16" fillId="0" borderId="34" xfId="3" applyNumberFormat="1" applyFont="1" applyBorder="1" applyAlignment="1">
      <alignment horizontal="center" vertical="center"/>
    </xf>
    <xf numFmtId="0" fontId="16" fillId="16" borderId="23" xfId="3" applyFont="1" applyFill="1" applyBorder="1" applyAlignment="1">
      <alignment horizontal="center"/>
    </xf>
    <xf numFmtId="0" fontId="16" fillId="0" borderId="35" xfId="3" applyFont="1" applyBorder="1" applyAlignment="1">
      <alignment horizontal="center" vertical="center" wrapText="1"/>
    </xf>
    <xf numFmtId="4" fontId="16" fillId="0" borderId="24" xfId="3" applyNumberFormat="1" applyFont="1" applyBorder="1" applyAlignment="1">
      <alignment horizontal="center" vertical="center"/>
    </xf>
    <xf numFmtId="4" fontId="16" fillId="12" borderId="24" xfId="3" applyNumberFormat="1" applyFont="1" applyFill="1" applyBorder="1" applyAlignment="1">
      <alignment horizontal="center" vertical="center"/>
    </xf>
    <xf numFmtId="1" fontId="16" fillId="0" borderId="24" xfId="3" applyNumberFormat="1" applyFont="1" applyBorder="1" applyAlignment="1">
      <alignment horizontal="center" vertical="center"/>
    </xf>
    <xf numFmtId="0" fontId="16" fillId="0" borderId="36" xfId="3" applyFont="1" applyBorder="1" applyAlignment="1">
      <alignment horizontal="center"/>
    </xf>
    <xf numFmtId="4" fontId="16" fillId="12" borderId="37" xfId="3" applyNumberFormat="1" applyFont="1" applyFill="1" applyBorder="1" applyAlignment="1">
      <alignment horizontal="center" vertical="center"/>
    </xf>
    <xf numFmtId="4" fontId="16" fillId="0" borderId="30" xfId="3" applyNumberFormat="1" applyFont="1" applyBorder="1" applyAlignment="1">
      <alignment horizontal="center" vertical="center" wrapText="1"/>
    </xf>
    <xf numFmtId="4" fontId="16" fillId="0" borderId="23" xfId="3" applyNumberFormat="1" applyFont="1" applyBorder="1" applyAlignment="1">
      <alignment horizontal="center" vertical="center" wrapText="1"/>
    </xf>
    <xf numFmtId="4" fontId="15" fillId="3" borderId="23" xfId="3" applyNumberFormat="1" applyFont="1" applyFill="1" applyBorder="1" applyAlignment="1">
      <alignment horizontal="center" vertical="center"/>
    </xf>
    <xf numFmtId="4" fontId="16" fillId="0" borderId="38" xfId="3" applyNumberFormat="1" applyFont="1" applyBorder="1" applyAlignment="1">
      <alignment horizontal="center" vertical="center"/>
    </xf>
    <xf numFmtId="4" fontId="1" fillId="0" borderId="0" xfId="3" applyNumberFormat="1"/>
    <xf numFmtId="0" fontId="1" fillId="0" borderId="0" xfId="3" applyAlignment="1"/>
    <xf numFmtId="10" fontId="1" fillId="0" borderId="0" xfId="3" applyNumberFormat="1"/>
    <xf numFmtId="4" fontId="16" fillId="0" borderId="24" xfId="3" applyNumberFormat="1" applyFont="1" applyBorder="1" applyAlignment="1">
      <alignment horizontal="center" vertical="center" wrapText="1"/>
    </xf>
    <xf numFmtId="4" fontId="15" fillId="12" borderId="24" xfId="3" applyNumberFormat="1" applyFont="1" applyFill="1" applyBorder="1" applyAlignment="1">
      <alignment horizontal="center" vertical="center"/>
    </xf>
    <xf numFmtId="0" fontId="1" fillId="0" borderId="0" xfId="3" applyBorder="1"/>
    <xf numFmtId="0" fontId="16" fillId="16" borderId="30" xfId="3" applyFont="1" applyFill="1" applyBorder="1" applyAlignment="1">
      <alignment horizontal="center" vertical="center" wrapText="1"/>
    </xf>
    <xf numFmtId="0" fontId="16" fillId="16" borderId="23" xfId="3" applyFont="1" applyFill="1" applyBorder="1" applyAlignment="1">
      <alignment horizontal="center" vertical="center" wrapText="1"/>
    </xf>
    <xf numFmtId="0" fontId="16" fillId="0" borderId="0" xfId="3" applyFont="1"/>
    <xf numFmtId="0" fontId="15" fillId="0" borderId="0" xfId="3" applyFont="1" applyAlignment="1">
      <alignment horizontal="right" vertical="center"/>
    </xf>
    <xf numFmtId="1" fontId="15" fillId="0" borderId="23" xfId="3" applyNumberFormat="1" applyFont="1" applyBorder="1" applyAlignment="1">
      <alignment horizontal="center" vertical="center"/>
    </xf>
    <xf numFmtId="0" fontId="16" fillId="0" borderId="0" xfId="3" applyFont="1" applyBorder="1" applyAlignment="1">
      <alignment horizontal="center"/>
    </xf>
    <xf numFmtId="4" fontId="16" fillId="0" borderId="0" xfId="3" applyNumberFormat="1" applyFont="1" applyBorder="1" applyAlignment="1">
      <alignment horizontal="center" vertical="center"/>
    </xf>
    <xf numFmtId="1" fontId="16" fillId="0" borderId="0" xfId="3" applyNumberFormat="1" applyFont="1" applyBorder="1" applyAlignment="1">
      <alignment horizontal="center" vertical="center"/>
    </xf>
    <xf numFmtId="0" fontId="15" fillId="16" borderId="14" xfId="3" applyFont="1" applyFill="1" applyBorder="1" applyAlignment="1">
      <alignment horizontal="center"/>
    </xf>
    <xf numFmtId="4" fontId="15" fillId="2" borderId="1" xfId="3" applyNumberFormat="1" applyFont="1" applyFill="1" applyBorder="1" applyAlignment="1">
      <alignment horizontal="center" vertical="center"/>
    </xf>
    <xf numFmtId="4" fontId="15" fillId="0" borderId="0" xfId="3" applyNumberFormat="1" applyFont="1" applyBorder="1" applyAlignment="1">
      <alignment horizontal="center" vertical="center"/>
    </xf>
    <xf numFmtId="0" fontId="15" fillId="16" borderId="1" xfId="3" applyFont="1" applyFill="1" applyBorder="1" applyAlignment="1">
      <alignment horizontal="center"/>
    </xf>
    <xf numFmtId="10" fontId="16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0" fontId="15" fillId="16" borderId="40" xfId="3" applyFont="1" applyFill="1" applyBorder="1" applyAlignment="1">
      <alignment horizontal="center"/>
    </xf>
    <xf numFmtId="4" fontId="15" fillId="0" borderId="41" xfId="3" applyNumberFormat="1" applyFont="1" applyBorder="1" applyAlignment="1">
      <alignment horizontal="center" vertical="center"/>
    </xf>
    <xf numFmtId="4" fontId="16" fillId="0" borderId="0" xfId="3" applyNumberFormat="1" applyFont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31" xfId="0" applyNumberForma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38" xfId="0" applyNumberFormat="1" applyBorder="1" applyAlignment="1">
      <alignment horizontal="center"/>
    </xf>
    <xf numFmtId="0" fontId="0" fillId="0" borderId="0" xfId="0" applyAlignment="1"/>
    <xf numFmtId="4" fontId="17" fillId="2" borderId="23" xfId="0" applyNumberFormat="1" applyFont="1" applyFill="1" applyBorder="1" applyAlignment="1">
      <alignment horizontal="center" vertical="center"/>
    </xf>
    <xf numFmtId="2" fontId="17" fillId="2" borderId="38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17" borderId="24" xfId="0" applyNumberFormat="1" applyFill="1" applyBorder="1" applyAlignment="1">
      <alignment horizontal="center" vertical="center"/>
    </xf>
    <xf numFmtId="4" fontId="0" fillId="17" borderId="37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23" xfId="0" applyBorder="1"/>
    <xf numFmtId="0" fontId="1" fillId="0" borderId="23" xfId="0" applyFont="1" applyBorder="1"/>
    <xf numFmtId="0" fontId="18" fillId="0" borderId="23" xfId="0" applyFont="1" applyBorder="1"/>
    <xf numFmtId="165" fontId="1" fillId="0" borderId="23" xfId="0" applyNumberFormat="1" applyFont="1" applyBorder="1"/>
    <xf numFmtId="165" fontId="18" fillId="0" borderId="23" xfId="0" applyNumberFormat="1" applyFont="1" applyBorder="1"/>
    <xf numFmtId="165" fontId="0" fillId="0" borderId="23" xfId="0" applyNumberFormat="1" applyBorder="1"/>
    <xf numFmtId="0" fontId="1" fillId="0" borderId="0" xfId="0" applyFont="1"/>
    <xf numFmtId="0" fontId="1" fillId="0" borderId="0" xfId="4"/>
    <xf numFmtId="0" fontId="15" fillId="0" borderId="40" xfId="4" applyFont="1" applyBorder="1" applyAlignment="1">
      <alignment horizontal="center" vertical="center" wrapText="1"/>
    </xf>
    <xf numFmtId="0" fontId="15" fillId="0" borderId="42" xfId="4" applyFont="1" applyBorder="1" applyAlignment="1">
      <alignment horizontal="center" vertical="center" wrapText="1"/>
    </xf>
    <xf numFmtId="0" fontId="15" fillId="0" borderId="43" xfId="4" applyFont="1" applyBorder="1" applyAlignment="1">
      <alignment horizontal="center" vertical="center" wrapText="1"/>
    </xf>
    <xf numFmtId="0" fontId="15" fillId="3" borderId="1" xfId="4" applyFont="1" applyFill="1" applyBorder="1" applyAlignment="1">
      <alignment horizontal="center" vertical="center" wrapText="1"/>
    </xf>
    <xf numFmtId="0" fontId="15" fillId="0" borderId="41" xfId="4" applyFont="1" applyBorder="1" applyAlignment="1">
      <alignment horizontal="center" vertical="center" wrapText="1"/>
    </xf>
    <xf numFmtId="0" fontId="16" fillId="0" borderId="44" xfId="4" applyFont="1" applyBorder="1" applyAlignment="1">
      <alignment horizontal="center" vertical="center" wrapText="1"/>
    </xf>
    <xf numFmtId="4" fontId="16" fillId="0" borderId="25" xfId="4" applyNumberFormat="1" applyFont="1" applyBorder="1" applyAlignment="1">
      <alignment horizontal="center" vertical="center"/>
    </xf>
    <xf numFmtId="4" fontId="15" fillId="0" borderId="45" xfId="4" applyNumberFormat="1" applyFont="1" applyBorder="1" applyAlignment="1">
      <alignment horizontal="center" vertical="center"/>
    </xf>
    <xf numFmtId="4" fontId="15" fillId="3" borderId="18" xfId="4" applyNumberFormat="1" applyFont="1" applyFill="1" applyBorder="1" applyAlignment="1">
      <alignment horizontal="center" vertical="center"/>
    </xf>
    <xf numFmtId="1" fontId="16" fillId="0" borderId="44" xfId="4" applyNumberFormat="1" applyFont="1" applyBorder="1" applyAlignment="1">
      <alignment horizontal="center" vertical="center"/>
    </xf>
    <xf numFmtId="4" fontId="16" fillId="0" borderId="34" xfId="4" applyNumberFormat="1" applyFont="1" applyBorder="1" applyAlignment="1">
      <alignment horizontal="center" vertical="center"/>
    </xf>
    <xf numFmtId="0" fontId="16" fillId="0" borderId="44" xfId="4" applyFont="1" applyBorder="1" applyAlignment="1">
      <alignment horizontal="center"/>
    </xf>
    <xf numFmtId="0" fontId="16" fillId="0" borderId="32" xfId="4" applyFont="1" applyBorder="1" applyAlignment="1">
      <alignment horizontal="center" vertical="center" wrapText="1"/>
    </xf>
    <xf numFmtId="4" fontId="16" fillId="0" borderId="23" xfId="4" applyNumberFormat="1" applyFont="1" applyBorder="1" applyAlignment="1">
      <alignment horizontal="center" vertical="center"/>
    </xf>
    <xf numFmtId="4" fontId="16" fillId="0" borderId="38" xfId="4" applyNumberFormat="1" applyFont="1" applyBorder="1" applyAlignment="1">
      <alignment horizontal="center" vertical="center"/>
    </xf>
    <xf numFmtId="0" fontId="16" fillId="0" borderId="32" xfId="4" applyFont="1" applyBorder="1" applyAlignment="1">
      <alignment horizontal="center"/>
    </xf>
    <xf numFmtId="1" fontId="16" fillId="0" borderId="32" xfId="4" applyNumberFormat="1" applyFont="1" applyBorder="1" applyAlignment="1">
      <alignment horizontal="center" vertical="center"/>
    </xf>
    <xf numFmtId="0" fontId="16" fillId="0" borderId="35" xfId="4" applyFont="1" applyBorder="1" applyAlignment="1">
      <alignment horizontal="center" vertical="center" wrapText="1"/>
    </xf>
    <xf numFmtId="4" fontId="16" fillId="0" borderId="24" xfId="4" applyNumberFormat="1" applyFont="1" applyBorder="1" applyAlignment="1">
      <alignment horizontal="center" vertical="center"/>
    </xf>
    <xf numFmtId="4" fontId="16" fillId="12" borderId="24" xfId="4" applyNumberFormat="1" applyFont="1" applyFill="1" applyBorder="1" applyAlignment="1">
      <alignment horizontal="center" vertical="center"/>
    </xf>
    <xf numFmtId="4" fontId="16" fillId="12" borderId="46" xfId="4" applyNumberFormat="1" applyFont="1" applyFill="1" applyBorder="1" applyAlignment="1">
      <alignment horizontal="center" vertical="center"/>
    </xf>
    <xf numFmtId="4" fontId="16" fillId="12" borderId="13" xfId="4" applyNumberFormat="1" applyFont="1" applyFill="1" applyBorder="1" applyAlignment="1">
      <alignment horizontal="center" vertical="center"/>
    </xf>
    <xf numFmtId="1" fontId="16" fillId="0" borderId="35" xfId="4" applyNumberFormat="1" applyFont="1" applyBorder="1" applyAlignment="1">
      <alignment horizontal="center" vertical="center"/>
    </xf>
    <xf numFmtId="4" fontId="16" fillId="12" borderId="37" xfId="4" applyNumberFormat="1" applyFont="1" applyFill="1" applyBorder="1" applyAlignment="1">
      <alignment horizontal="center" vertical="center"/>
    </xf>
    <xf numFmtId="0" fontId="16" fillId="0" borderId="35" xfId="4" applyFont="1" applyBorder="1" applyAlignment="1">
      <alignment horizontal="center"/>
    </xf>
    <xf numFmtId="4" fontId="16" fillId="0" borderId="25" xfId="4" applyNumberFormat="1" applyFont="1" applyBorder="1" applyAlignment="1">
      <alignment horizontal="center" vertical="center" wrapText="1"/>
    </xf>
    <xf numFmtId="4" fontId="16" fillId="0" borderId="23" xfId="4" applyNumberFormat="1" applyFont="1" applyBorder="1" applyAlignment="1">
      <alignment horizontal="center" vertical="center" wrapText="1"/>
    </xf>
    <xf numFmtId="4" fontId="15" fillId="0" borderId="47" xfId="4" applyNumberFormat="1" applyFont="1" applyBorder="1" applyAlignment="1">
      <alignment horizontal="center" vertical="center"/>
    </xf>
    <xf numFmtId="4" fontId="15" fillId="3" borderId="7" xfId="4" applyNumberFormat="1" applyFont="1" applyFill="1" applyBorder="1" applyAlignment="1">
      <alignment horizontal="center" vertical="center"/>
    </xf>
    <xf numFmtId="4" fontId="1" fillId="0" borderId="0" xfId="4" applyNumberFormat="1"/>
    <xf numFmtId="0" fontId="1" fillId="0" borderId="0" xfId="4" applyAlignment="1"/>
    <xf numFmtId="10" fontId="1" fillId="0" borderId="0" xfId="4" applyNumberFormat="1"/>
    <xf numFmtId="4" fontId="16" fillId="0" borderId="24" xfId="4" applyNumberFormat="1" applyFont="1" applyBorder="1" applyAlignment="1">
      <alignment horizontal="center" vertical="center" wrapText="1"/>
    </xf>
    <xf numFmtId="4" fontId="15" fillId="12" borderId="46" xfId="4" applyNumberFormat="1" applyFont="1" applyFill="1" applyBorder="1" applyAlignment="1">
      <alignment horizontal="center" vertical="center"/>
    </xf>
    <xf numFmtId="4" fontId="15" fillId="12" borderId="13" xfId="4" applyNumberFormat="1" applyFont="1" applyFill="1" applyBorder="1" applyAlignment="1">
      <alignment horizontal="center" vertical="center"/>
    </xf>
    <xf numFmtId="0" fontId="1" fillId="0" borderId="0" xfId="4" applyBorder="1"/>
    <xf numFmtId="0" fontId="16" fillId="0" borderId="0" xfId="4" applyFont="1"/>
    <xf numFmtId="0" fontId="15" fillId="0" borderId="0" xfId="4" applyFont="1" applyAlignment="1">
      <alignment horizontal="right" vertical="center"/>
    </xf>
    <xf numFmtId="1" fontId="15" fillId="0" borderId="25" xfId="4" applyNumberFormat="1" applyFont="1" applyBorder="1" applyAlignment="1">
      <alignment horizontal="center" vertical="center"/>
    </xf>
    <xf numFmtId="0" fontId="16" fillId="0" borderId="0" xfId="4" applyFont="1" applyBorder="1" applyAlignment="1">
      <alignment horizontal="center"/>
    </xf>
    <xf numFmtId="4" fontId="16" fillId="0" borderId="0" xfId="4" applyNumberFormat="1" applyFont="1" applyBorder="1" applyAlignment="1">
      <alignment horizontal="center" vertical="center"/>
    </xf>
    <xf numFmtId="1" fontId="16" fillId="0" borderId="0" xfId="4" applyNumberFormat="1" applyFont="1" applyBorder="1" applyAlignment="1">
      <alignment horizontal="center" vertical="center"/>
    </xf>
    <xf numFmtId="4" fontId="15" fillId="3" borderId="1" xfId="4" applyNumberFormat="1" applyFont="1" applyFill="1" applyBorder="1" applyAlignment="1">
      <alignment horizontal="center" vertical="center"/>
    </xf>
    <xf numFmtId="4" fontId="15" fillId="0" borderId="0" xfId="4" applyNumberFormat="1" applyFont="1" applyBorder="1" applyAlignment="1">
      <alignment horizontal="center" vertical="center"/>
    </xf>
  </cellXfs>
  <cellStyles count="5">
    <cellStyle name="Migliaia" xfId="1" builtinId="3"/>
    <cellStyle name="Normale" xfId="0" builtinId="0"/>
    <cellStyle name="Normale_SIMULAZ Fondi Castelvetro 18 settembre" xfId="3" xr:uid="{00000000-0005-0000-0000-000006000000}"/>
    <cellStyle name="Normale_SIMULAZ Fondi Castelvetro 18 settembre_Teramo - Utilizzo fondo 2019-2021" xfId="4" xr:uid="{00000000-0005-0000-0000-000007000000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10" zoomScaleNormal="100" workbookViewId="0">
      <pane xSplit="2" ySplit="2" topLeftCell="C26" activePane="bottomRight" state="frozen"/>
      <selection pane="topRight" activeCell="C1" sqref="C1"/>
      <selection pane="bottomLeft" activeCell="A26" sqref="A26"/>
      <selection pane="bottomRight" activeCell="K39" sqref="K39"/>
    </sheetView>
  </sheetViews>
  <sheetFormatPr defaultColWidth="8.5703125" defaultRowHeight="12.75" x14ac:dyDescent="0.2"/>
  <cols>
    <col min="1" max="1" width="11.7109375" customWidth="1"/>
    <col min="2" max="2" width="45.140625" customWidth="1"/>
    <col min="3" max="3" width="13.85546875" customWidth="1"/>
    <col min="4" max="4" width="18.28515625" customWidth="1"/>
    <col min="5" max="5" width="13.85546875" customWidth="1"/>
    <col min="6" max="6" width="10" customWidth="1"/>
    <col min="7" max="7" width="13.85546875" customWidth="1"/>
    <col min="8" max="8" width="10" customWidth="1"/>
    <col min="9" max="9" width="13.85546875" customWidth="1"/>
    <col min="10" max="10" width="10" customWidth="1"/>
    <col min="11" max="11" width="13.85546875" customWidth="1"/>
    <col min="12" max="12" width="10" customWidth="1"/>
    <col min="13" max="13" width="11.7109375" customWidth="1"/>
  </cols>
  <sheetData>
    <row r="1" spans="1:13" ht="30" customHeight="1" x14ac:dyDescent="0.2">
      <c r="A1" s="12"/>
      <c r="B1" s="13"/>
      <c r="C1" s="14">
        <v>2017</v>
      </c>
      <c r="D1" s="15"/>
      <c r="E1" s="16">
        <v>2018</v>
      </c>
      <c r="F1" s="17" t="s">
        <v>0</v>
      </c>
      <c r="G1" s="16">
        <v>2019</v>
      </c>
      <c r="H1" s="17" t="s">
        <v>0</v>
      </c>
      <c r="I1" s="16">
        <v>2020</v>
      </c>
      <c r="J1" s="17" t="s">
        <v>0</v>
      </c>
      <c r="K1" s="16">
        <v>2021</v>
      </c>
      <c r="L1" s="17" t="s">
        <v>0</v>
      </c>
    </row>
    <row r="2" spans="1:13" ht="15" x14ac:dyDescent="0.2">
      <c r="A2" s="11" t="s">
        <v>1</v>
      </c>
      <c r="B2" s="11"/>
      <c r="C2" s="18">
        <v>1110512.8142508201</v>
      </c>
      <c r="D2" s="19"/>
      <c r="E2" s="18">
        <v>805692.60258415295</v>
      </c>
      <c r="F2" s="20"/>
      <c r="G2" s="18">
        <v>775042.04350163997</v>
      </c>
      <c r="H2" s="20"/>
      <c r="I2" s="18">
        <v>775042.04350163997</v>
      </c>
      <c r="J2" s="20"/>
      <c r="K2" s="18">
        <v>775042.04350163997</v>
      </c>
      <c r="L2" s="20"/>
    </row>
    <row r="3" spans="1:13" ht="15" x14ac:dyDescent="0.2">
      <c r="A3" s="21"/>
      <c r="B3" s="22"/>
      <c r="C3" s="22"/>
      <c r="D3" s="23" t="s">
        <v>2</v>
      </c>
      <c r="E3" s="24">
        <v>253120</v>
      </c>
      <c r="F3" s="25"/>
      <c r="G3" s="24">
        <f>E3</f>
        <v>253120</v>
      </c>
      <c r="H3" s="25"/>
      <c r="I3" s="24">
        <f>G3</f>
        <v>253120</v>
      </c>
      <c r="J3" s="25"/>
      <c r="K3" s="24">
        <f>I3</f>
        <v>253120</v>
      </c>
      <c r="L3" s="25"/>
    </row>
    <row r="4" spans="1:13" ht="15" x14ac:dyDescent="0.2">
      <c r="A4" s="26"/>
      <c r="B4" s="22"/>
      <c r="C4" s="10" t="s">
        <v>3</v>
      </c>
      <c r="D4" s="10"/>
      <c r="E4" s="27">
        <v>0</v>
      </c>
      <c r="F4" s="25"/>
      <c r="G4" s="27">
        <v>0</v>
      </c>
      <c r="H4" s="25"/>
      <c r="I4" s="27">
        <v>0</v>
      </c>
      <c r="J4" s="25"/>
      <c r="K4" s="27">
        <v>0</v>
      </c>
      <c r="L4" s="25"/>
    </row>
    <row r="5" spans="1:13" ht="15" x14ac:dyDescent="0.2">
      <c r="A5" s="26"/>
      <c r="B5" s="22"/>
      <c r="C5" s="22"/>
      <c r="D5" s="28" t="s">
        <v>4</v>
      </c>
      <c r="E5" s="29">
        <f>E3+E4</f>
        <v>253120</v>
      </c>
      <c r="F5" s="25"/>
      <c r="G5" s="29">
        <f>G3+G4</f>
        <v>253120</v>
      </c>
      <c r="H5" s="25"/>
      <c r="I5" s="29">
        <f>I3+I4</f>
        <v>253120</v>
      </c>
      <c r="J5" s="25"/>
      <c r="K5" s="29">
        <f>K3+K4</f>
        <v>253120</v>
      </c>
      <c r="L5" s="25"/>
    </row>
    <row r="6" spans="1:13" ht="15" x14ac:dyDescent="0.2">
      <c r="A6" s="30"/>
      <c r="B6" s="22"/>
      <c r="C6" s="22"/>
      <c r="D6" s="31" t="s">
        <v>5</v>
      </c>
      <c r="E6" s="18">
        <f>E2-E4</f>
        <v>805692.60258415295</v>
      </c>
      <c r="F6" s="32"/>
      <c r="G6" s="33">
        <f>G2-G4</f>
        <v>775042.04350163997</v>
      </c>
      <c r="H6" s="32"/>
      <c r="I6" s="33">
        <f>I2-I4</f>
        <v>775042.04350163997</v>
      </c>
      <c r="J6" s="32"/>
      <c r="K6" s="33">
        <f>K2-K4</f>
        <v>775042.04350163997</v>
      </c>
      <c r="L6" s="32"/>
    </row>
    <row r="7" spans="1:13" ht="15" customHeight="1" x14ac:dyDescent="0.2">
      <c r="A7" s="9" t="s">
        <v>6</v>
      </c>
      <c r="B7" s="34" t="s">
        <v>7</v>
      </c>
      <c r="C7" s="35">
        <v>88445</v>
      </c>
      <c r="D7" s="36"/>
      <c r="E7" s="37">
        <v>81064.679999999993</v>
      </c>
      <c r="F7" s="38">
        <f>E7*1/$E$24</f>
        <v>0.10061489920596975</v>
      </c>
      <c r="G7" s="35">
        <f>E7+'uscite-entrate'!G45</f>
        <v>80955.09</v>
      </c>
      <c r="H7" s="38">
        <f>G7*1/$G$24</f>
        <v>0.10445251412974307</v>
      </c>
      <c r="I7" s="35">
        <f>E7+'uscite-entrate'!I45</f>
        <v>83497.859999999986</v>
      </c>
      <c r="J7" s="38">
        <f>I7*1/$I$24</f>
        <v>0.10773332969493714</v>
      </c>
      <c r="K7" s="35">
        <f>E7+'uscite-entrate'!K45</f>
        <v>83033.51999999999</v>
      </c>
      <c r="L7" s="38">
        <f>K7*1/$K$24</f>
        <v>0.10713421380968514</v>
      </c>
    </row>
    <row r="8" spans="1:13" ht="15" x14ac:dyDescent="0.2">
      <c r="A8" s="9"/>
      <c r="B8" s="39" t="s">
        <v>8</v>
      </c>
      <c r="C8" s="40">
        <v>104849</v>
      </c>
      <c r="D8" s="22" t="s">
        <v>9</v>
      </c>
      <c r="E8" s="40">
        <v>101073.26</v>
      </c>
      <c r="F8" s="41">
        <f>E8*1/$E$24</f>
        <v>0.12544891150275034</v>
      </c>
      <c r="G8" s="40">
        <f>E11+'uscite-entrate'!F45</f>
        <v>163499.43513888889</v>
      </c>
      <c r="H8" s="41">
        <f>G8*1/$G$24</f>
        <v>0.21095556881043309</v>
      </c>
      <c r="I8" s="40">
        <f>G11+'uscite-entrate'!H45-'uscite-entrate'!F45</f>
        <v>158120.10284722221</v>
      </c>
      <c r="J8" s="41">
        <f>I8*1/$I$24</f>
        <v>0.20401487141631128</v>
      </c>
      <c r="K8" s="40">
        <f>I11+'uscite-entrate'!J45-'uscite-entrate'!H45</f>
        <v>154893.80708333335</v>
      </c>
      <c r="L8" s="41">
        <f>K8*1/$K$24</f>
        <v>0.199852134967444</v>
      </c>
      <c r="M8" s="42"/>
    </row>
    <row r="9" spans="1:13" ht="15" x14ac:dyDescent="0.2">
      <c r="A9" s="9"/>
      <c r="B9" s="43" t="s">
        <v>10</v>
      </c>
      <c r="C9" s="44"/>
      <c r="D9" s="22" t="s">
        <v>11</v>
      </c>
      <c r="E9" s="45">
        <v>65000</v>
      </c>
      <c r="F9" s="46">
        <f>E9*1/$E$24</f>
        <v>8.067592999057091E-2</v>
      </c>
      <c r="G9" s="45">
        <v>0</v>
      </c>
      <c r="H9" s="46">
        <f>G9*1/$G$24</f>
        <v>0</v>
      </c>
      <c r="I9" s="45">
        <v>0</v>
      </c>
      <c r="J9" s="46">
        <f>I9*1/$I$24</f>
        <v>0</v>
      </c>
      <c r="K9" s="45">
        <v>0</v>
      </c>
      <c r="L9" s="46">
        <f>K9*1/$K$24</f>
        <v>0</v>
      </c>
      <c r="M9" s="42"/>
    </row>
    <row r="10" spans="1:13" ht="4.5" customHeight="1" x14ac:dyDescent="0.2">
      <c r="A10" s="9"/>
      <c r="B10" s="47"/>
      <c r="C10" s="48"/>
      <c r="D10" s="49"/>
      <c r="E10" s="48"/>
      <c r="F10" s="50"/>
      <c r="G10" s="51"/>
      <c r="H10" s="50"/>
      <c r="I10" s="51"/>
      <c r="J10" s="50"/>
      <c r="K10" s="51"/>
      <c r="L10" s="50"/>
      <c r="M10" s="42"/>
    </row>
    <row r="11" spans="1:13" ht="15" x14ac:dyDescent="0.2">
      <c r="A11" s="9"/>
      <c r="B11" s="47"/>
      <c r="C11" s="22" t="s">
        <v>12</v>
      </c>
      <c r="D11" s="52" t="s">
        <v>13</v>
      </c>
      <c r="E11" s="53">
        <f t="shared" ref="E11:L11" si="0">E8+E9</f>
        <v>166073.26</v>
      </c>
      <c r="F11" s="54">
        <f t="shared" si="0"/>
        <v>0.20612484149332125</v>
      </c>
      <c r="G11" s="53">
        <f t="shared" si="0"/>
        <v>163499.43513888889</v>
      </c>
      <c r="H11" s="54">
        <f t="shared" si="0"/>
        <v>0.21095556881043309</v>
      </c>
      <c r="I11" s="53">
        <f t="shared" si="0"/>
        <v>158120.10284722221</v>
      </c>
      <c r="J11" s="54">
        <f t="shared" si="0"/>
        <v>0.20401487141631128</v>
      </c>
      <c r="K11" s="53">
        <f t="shared" si="0"/>
        <v>154893.80708333335</v>
      </c>
      <c r="L11" s="54">
        <f t="shared" si="0"/>
        <v>0.199852134967444</v>
      </c>
      <c r="M11" s="42"/>
    </row>
    <row r="12" spans="1:13" ht="4.5" customHeight="1" x14ac:dyDescent="0.2">
      <c r="A12" s="9"/>
      <c r="B12" s="47"/>
      <c r="C12" s="48"/>
      <c r="D12" s="49"/>
      <c r="E12" s="48"/>
      <c r="F12" s="50"/>
      <c r="G12" s="51"/>
      <c r="H12" s="50"/>
      <c r="I12" s="51"/>
      <c r="J12" s="50"/>
      <c r="K12" s="51"/>
      <c r="L12" s="50"/>
      <c r="M12" s="42"/>
    </row>
    <row r="13" spans="1:13" ht="15" customHeight="1" x14ac:dyDescent="0.2">
      <c r="A13" s="9"/>
      <c r="B13" s="55" t="s">
        <v>14</v>
      </c>
      <c r="C13" s="35">
        <f>207620.91+25065</f>
        <v>232685.91</v>
      </c>
      <c r="D13" s="49"/>
      <c r="E13" s="56"/>
      <c r="F13" s="50"/>
      <c r="G13" s="56"/>
      <c r="H13" s="50"/>
      <c r="I13" s="56"/>
      <c r="J13" s="50"/>
      <c r="K13" s="56"/>
      <c r="L13" s="50"/>
    </row>
    <row r="14" spans="1:13" ht="15" x14ac:dyDescent="0.2">
      <c r="A14" s="9"/>
      <c r="B14" s="57" t="s">
        <v>15</v>
      </c>
      <c r="C14" s="58"/>
      <c r="D14" s="36"/>
      <c r="E14" s="58">
        <v>0</v>
      </c>
      <c r="F14" s="38">
        <f>E14*1/$E$24</f>
        <v>0</v>
      </c>
      <c r="G14" s="59">
        <v>0</v>
      </c>
      <c r="H14" s="38">
        <f>G14*1/$G$24</f>
        <v>0</v>
      </c>
      <c r="I14" s="59">
        <v>0</v>
      </c>
      <c r="J14" s="38">
        <f>I14*1/$I$24</f>
        <v>0</v>
      </c>
      <c r="K14" s="59">
        <v>0</v>
      </c>
      <c r="L14" s="38">
        <f>K14*1/$K$24</f>
        <v>0</v>
      </c>
    </row>
    <row r="15" spans="1:13" ht="30" x14ac:dyDescent="0.2">
      <c r="A15" s="9"/>
      <c r="B15" s="60" t="s">
        <v>16</v>
      </c>
      <c r="C15" s="61">
        <v>0</v>
      </c>
      <c r="D15" s="36"/>
      <c r="E15" s="61">
        <f>C15</f>
        <v>0</v>
      </c>
      <c r="F15" s="62">
        <f>E15*1/$E$24</f>
        <v>0</v>
      </c>
      <c r="G15" s="61">
        <f>C15</f>
        <v>0</v>
      </c>
      <c r="H15" s="62">
        <f>G15*1/$G$24</f>
        <v>0</v>
      </c>
      <c r="I15" s="61">
        <f>C15</f>
        <v>0</v>
      </c>
      <c r="J15" s="62">
        <f>I15*1/$I$24</f>
        <v>0</v>
      </c>
      <c r="K15" s="61">
        <f>C15</f>
        <v>0</v>
      </c>
      <c r="L15" s="62">
        <f>K15*1/$K$24</f>
        <v>0</v>
      </c>
    </row>
    <row r="16" spans="1:13" ht="15" x14ac:dyDescent="0.2">
      <c r="A16" s="63"/>
      <c r="B16" s="64" t="s">
        <v>17</v>
      </c>
      <c r="C16" s="65">
        <f>C7+C8+C13+C14+C15</f>
        <v>425979.91000000003</v>
      </c>
      <c r="D16" s="36"/>
      <c r="E16" s="65">
        <f>SUM(E7,E8,E9)</f>
        <v>247137.94</v>
      </c>
      <c r="F16" s="66"/>
      <c r="G16" s="67">
        <f>SUM(G7:G9,G13:G15)</f>
        <v>244454.52513888889</v>
      </c>
      <c r="H16" s="66"/>
      <c r="I16" s="67">
        <f>SUM(I7:I9,I13:I15)</f>
        <v>241617.9628472222</v>
      </c>
      <c r="J16" s="66"/>
      <c r="K16" s="67">
        <f>SUM(K7:K9,K13:K15)</f>
        <v>237927.32708333334</v>
      </c>
      <c r="L16" s="66"/>
    </row>
    <row r="17" spans="1:13" ht="3" customHeight="1" x14ac:dyDescent="0.2">
      <c r="A17" s="68"/>
      <c r="B17" s="69"/>
      <c r="C17" s="70"/>
      <c r="D17" s="36"/>
      <c r="E17" s="70"/>
      <c r="F17" s="66"/>
      <c r="G17" s="70"/>
      <c r="H17" s="66"/>
      <c r="I17" s="70"/>
      <c r="J17" s="66"/>
      <c r="K17" s="70"/>
      <c r="L17" s="66"/>
    </row>
    <row r="18" spans="1:13" ht="15" customHeight="1" x14ac:dyDescent="0.2">
      <c r="A18" s="8" t="s">
        <v>18</v>
      </c>
      <c r="B18" s="71" t="s">
        <v>19</v>
      </c>
      <c r="C18" s="35">
        <v>0</v>
      </c>
      <c r="D18" s="36"/>
      <c r="E18" s="35">
        <f>C18</f>
        <v>0</v>
      </c>
      <c r="F18" s="72"/>
      <c r="G18" s="37">
        <v>0</v>
      </c>
      <c r="H18" s="72"/>
      <c r="I18" s="37">
        <v>0</v>
      </c>
      <c r="J18" s="72"/>
      <c r="K18" s="37">
        <v>0</v>
      </c>
      <c r="L18" s="48"/>
    </row>
    <row r="19" spans="1:13" ht="12.75" customHeight="1" x14ac:dyDescent="0.2">
      <c r="A19" s="8"/>
      <c r="B19" s="73" t="s">
        <v>20</v>
      </c>
      <c r="C19" s="74">
        <v>0</v>
      </c>
      <c r="D19" s="75"/>
      <c r="E19" s="74">
        <f>$C$19</f>
        <v>0</v>
      </c>
      <c r="F19" s="72"/>
      <c r="G19" s="74">
        <f>$C$19</f>
        <v>0</v>
      </c>
      <c r="H19" s="72"/>
      <c r="I19" s="74">
        <f>$C$19</f>
        <v>0</v>
      </c>
      <c r="J19" s="72"/>
      <c r="K19" s="74">
        <f>$C$19</f>
        <v>0</v>
      </c>
      <c r="L19" s="72"/>
    </row>
    <row r="20" spans="1:13" ht="15" x14ac:dyDescent="0.2">
      <c r="A20" s="8"/>
      <c r="B20" s="76" t="s">
        <v>21</v>
      </c>
      <c r="C20" s="77">
        <v>0</v>
      </c>
      <c r="D20" s="36"/>
      <c r="E20" s="77">
        <f>C20</f>
        <v>0</v>
      </c>
      <c r="F20" s="48"/>
      <c r="G20" s="77">
        <f>C20</f>
        <v>0</v>
      </c>
      <c r="H20" s="48"/>
      <c r="I20" s="77">
        <f>C20</f>
        <v>0</v>
      </c>
      <c r="J20" s="48"/>
      <c r="K20" s="77">
        <f>C20</f>
        <v>0</v>
      </c>
      <c r="L20" s="48"/>
    </row>
    <row r="21" spans="1:13" ht="15" x14ac:dyDescent="0.2">
      <c r="A21" s="8"/>
      <c r="B21" s="78" t="s">
        <v>22</v>
      </c>
      <c r="C21" s="77">
        <v>0</v>
      </c>
      <c r="D21" s="36"/>
      <c r="E21" s="77">
        <v>0</v>
      </c>
      <c r="F21" s="48"/>
      <c r="G21" s="77">
        <v>0</v>
      </c>
      <c r="H21" s="48"/>
      <c r="I21" s="77">
        <v>0</v>
      </c>
      <c r="J21" s="48"/>
      <c r="K21" s="77">
        <v>0</v>
      </c>
      <c r="L21" s="48"/>
    </row>
    <row r="22" spans="1:13" ht="15" x14ac:dyDescent="0.2">
      <c r="A22" s="8"/>
      <c r="B22" s="79" t="s">
        <v>23</v>
      </c>
      <c r="C22" s="80">
        <v>0</v>
      </c>
      <c r="D22" s="36"/>
      <c r="E22" s="80">
        <v>0</v>
      </c>
      <c r="F22" s="48"/>
      <c r="G22" s="80">
        <v>0</v>
      </c>
      <c r="H22" s="48"/>
      <c r="I22" s="80">
        <v>0</v>
      </c>
      <c r="J22" s="48"/>
      <c r="K22" s="80">
        <v>0</v>
      </c>
      <c r="L22" s="48"/>
    </row>
    <row r="23" spans="1:13" ht="15" x14ac:dyDescent="0.2">
      <c r="A23" s="8"/>
      <c r="B23" s="81" t="s">
        <v>24</v>
      </c>
      <c r="C23" s="82">
        <f>SUM(C18:C22)</f>
        <v>0</v>
      </c>
      <c r="D23" s="19"/>
      <c r="E23" s="82">
        <f>SUM(E18:E22)</f>
        <v>0</v>
      </c>
      <c r="F23" s="66"/>
      <c r="G23" s="82">
        <f>SUM(G18:G22)</f>
        <v>0</v>
      </c>
      <c r="H23" s="66"/>
      <c r="I23" s="82">
        <f>SUM(I18:I22)</f>
        <v>0</v>
      </c>
      <c r="J23" s="66"/>
      <c r="K23" s="83">
        <f>SUM(K18:K22)</f>
        <v>0</v>
      </c>
      <c r="L23" s="66"/>
    </row>
    <row r="24" spans="1:13" ht="15" x14ac:dyDescent="0.2">
      <c r="A24" s="63"/>
      <c r="B24" s="84"/>
      <c r="C24" s="85">
        <f>C2+C23</f>
        <v>1110512.8142508201</v>
      </c>
      <c r="D24" s="86" t="s">
        <v>25</v>
      </c>
      <c r="E24" s="87">
        <f>E6+E23</f>
        <v>805692.60258415295</v>
      </c>
      <c r="F24" s="66"/>
      <c r="G24" s="87">
        <f>G6+G23</f>
        <v>775042.04350163997</v>
      </c>
      <c r="H24" s="66"/>
      <c r="I24" s="87">
        <f>I6+I23</f>
        <v>775042.04350163997</v>
      </c>
      <c r="J24" s="66"/>
      <c r="K24" s="87">
        <f>K6+K23</f>
        <v>775042.04350163997</v>
      </c>
      <c r="L24" s="66"/>
      <c r="M24" s="42"/>
    </row>
    <row r="25" spans="1:13" ht="3" customHeight="1" x14ac:dyDescent="0.2">
      <c r="A25" s="63"/>
      <c r="B25" s="84"/>
      <c r="C25" s="70"/>
      <c r="D25" s="88"/>
      <c r="E25" s="70"/>
      <c r="F25" s="66"/>
      <c r="G25" s="70"/>
      <c r="H25" s="66"/>
      <c r="I25" s="70"/>
      <c r="J25" s="66"/>
      <c r="K25" s="70"/>
      <c r="L25" s="66"/>
    </row>
    <row r="26" spans="1:13" ht="15" x14ac:dyDescent="0.2">
      <c r="A26" s="63"/>
      <c r="B26" s="84" t="s">
        <v>26</v>
      </c>
      <c r="C26" s="65">
        <f>C2-C16</f>
        <v>684532.90425082005</v>
      </c>
      <c r="D26" s="88"/>
      <c r="E26" s="65">
        <f>E6-E16</f>
        <v>558554.662584153</v>
      </c>
      <c r="F26" s="66"/>
      <c r="G26" s="65">
        <f>G6-G16</f>
        <v>530587.51836275111</v>
      </c>
      <c r="H26" s="66"/>
      <c r="I26" s="65">
        <f>I6-I16</f>
        <v>533424.08065441775</v>
      </c>
      <c r="J26" s="66"/>
      <c r="K26" s="65">
        <f>K6-K16</f>
        <v>537114.71641830658</v>
      </c>
      <c r="L26" s="66"/>
    </row>
    <row r="27" spans="1:13" ht="15.75" customHeight="1" x14ac:dyDescent="0.2">
      <c r="A27" s="7" t="s">
        <v>27</v>
      </c>
      <c r="B27" s="7"/>
      <c r="C27" s="89">
        <f>C23+C26</f>
        <v>684532.90425082005</v>
      </c>
      <c r="D27" s="90"/>
      <c r="E27" s="91">
        <f>E23+E26</f>
        <v>558554.662584153</v>
      </c>
      <c r="F27" s="66"/>
      <c r="G27" s="91">
        <f>G23+G26</f>
        <v>530587.51836275111</v>
      </c>
      <c r="H27" s="66"/>
      <c r="I27" s="91">
        <f>I23+I26</f>
        <v>533424.08065441775</v>
      </c>
      <c r="J27" s="66"/>
      <c r="K27" s="91">
        <f>K23+K26</f>
        <v>537114.71641830658</v>
      </c>
      <c r="L27" s="66"/>
    </row>
    <row r="28" spans="1:13" ht="15" customHeight="1" x14ac:dyDescent="0.2">
      <c r="A28" s="9" t="s">
        <v>28</v>
      </c>
      <c r="B28" s="92" t="s">
        <v>29</v>
      </c>
      <c r="C28" s="37">
        <v>45000</v>
      </c>
      <c r="D28" s="93" t="s">
        <v>30</v>
      </c>
      <c r="E28" s="37">
        <v>45000</v>
      </c>
      <c r="F28" s="94">
        <f>E28*1/$E$24</f>
        <v>5.58525669165491E-2</v>
      </c>
      <c r="G28" s="95">
        <f>I28+((E28-I28)/2)</f>
        <v>37500</v>
      </c>
      <c r="H28" s="94">
        <f t="shared" ref="H28:H38" si="1">G28*1/$G$24</f>
        <v>4.8384471932096738E-2</v>
      </c>
      <c r="I28" s="95">
        <v>30000</v>
      </c>
      <c r="J28" s="94">
        <f>I28*1/$I$24</f>
        <v>3.8707577545677392E-2</v>
      </c>
      <c r="K28" s="96">
        <v>30000</v>
      </c>
      <c r="L28" s="94">
        <f>K28*1/$K$24</f>
        <v>3.8707577545677392E-2</v>
      </c>
    </row>
    <row r="29" spans="1:13" ht="15" x14ac:dyDescent="0.2">
      <c r="A29" s="9"/>
      <c r="B29" s="97" t="s">
        <v>31</v>
      </c>
      <c r="C29" s="98"/>
      <c r="D29" s="93" t="s">
        <v>30</v>
      </c>
      <c r="E29" s="98"/>
      <c r="F29" s="99"/>
      <c r="G29" s="100">
        <f>I29/2</f>
        <v>7500</v>
      </c>
      <c r="H29" s="101">
        <f t="shared" si="1"/>
        <v>9.676894386419348E-3</v>
      </c>
      <c r="I29" s="100">
        <v>15000</v>
      </c>
      <c r="J29" s="101">
        <f>I29*1/$I$24</f>
        <v>1.9353788772838696E-2</v>
      </c>
      <c r="K29" s="102">
        <v>15000</v>
      </c>
      <c r="L29" s="101">
        <f>K29*1/$K$24</f>
        <v>1.9353788772838696E-2</v>
      </c>
    </row>
    <row r="30" spans="1:13" ht="15" x14ac:dyDescent="0.2">
      <c r="A30" s="9"/>
      <c r="B30" s="73" t="s">
        <v>32</v>
      </c>
      <c r="C30" s="74">
        <v>500</v>
      </c>
      <c r="D30" s="93" t="s">
        <v>30</v>
      </c>
      <c r="E30" s="74">
        <v>500</v>
      </c>
      <c r="F30" s="101">
        <f>E30*1/$E$24</f>
        <v>6.2058407685054555E-4</v>
      </c>
      <c r="G30" s="103">
        <f>E30/2</f>
        <v>250</v>
      </c>
      <c r="H30" s="101">
        <f t="shared" si="1"/>
        <v>3.2256314621397826E-4</v>
      </c>
      <c r="I30" s="104"/>
      <c r="J30" s="99"/>
      <c r="K30" s="99"/>
      <c r="L30" s="99"/>
    </row>
    <row r="31" spans="1:13" ht="15" x14ac:dyDescent="0.2">
      <c r="A31" s="9"/>
      <c r="B31" s="73" t="s">
        <v>33</v>
      </c>
      <c r="C31" s="74">
        <v>14074.25</v>
      </c>
      <c r="D31" s="93" t="s">
        <v>30</v>
      </c>
      <c r="E31" s="74">
        <v>12247.39</v>
      </c>
      <c r="F31" s="101">
        <f>E31*1/$E$24</f>
        <v>1.5201070433957204E-2</v>
      </c>
      <c r="G31" s="103">
        <f>E31/2</f>
        <v>6123.6949999999997</v>
      </c>
      <c r="H31" s="101">
        <f t="shared" si="1"/>
        <v>7.9011133026192296E-3</v>
      </c>
      <c r="I31" s="104"/>
      <c r="J31" s="99"/>
      <c r="K31" s="99"/>
      <c r="L31" s="99"/>
    </row>
    <row r="32" spans="1:13" ht="15" x14ac:dyDescent="0.2">
      <c r="A32" s="9"/>
      <c r="B32" s="73" t="s">
        <v>34</v>
      </c>
      <c r="C32" s="74">
        <v>0</v>
      </c>
      <c r="D32" s="93" t="s">
        <v>30</v>
      </c>
      <c r="E32" s="74">
        <v>0</v>
      </c>
      <c r="F32" s="101">
        <f>E32*1/$E$24</f>
        <v>0</v>
      </c>
      <c r="G32" s="105">
        <f>E32/2</f>
        <v>0</v>
      </c>
      <c r="H32" s="101">
        <f t="shared" si="1"/>
        <v>0</v>
      </c>
      <c r="I32" s="106"/>
      <c r="J32" s="99"/>
      <c r="K32" s="107"/>
      <c r="L32" s="99"/>
    </row>
    <row r="33" spans="1:13" ht="15.75" customHeight="1" x14ac:dyDescent="0.2">
      <c r="A33" s="9"/>
      <c r="B33" s="108" t="s">
        <v>35</v>
      </c>
      <c r="C33" s="99"/>
      <c r="D33" s="93" t="s">
        <v>30</v>
      </c>
      <c r="E33" s="99"/>
      <c r="F33" s="99"/>
      <c r="G33" s="109">
        <v>17500</v>
      </c>
      <c r="H33" s="101">
        <f t="shared" si="1"/>
        <v>2.257942023497848E-2</v>
      </c>
      <c r="I33" s="109">
        <v>35000</v>
      </c>
      <c r="J33" s="101">
        <f t="shared" ref="J33:J38" si="2">I33*1/$I$24</f>
        <v>4.5158840469956961E-2</v>
      </c>
      <c r="K33" s="110">
        <f>I33</f>
        <v>35000</v>
      </c>
      <c r="L33" s="101">
        <f t="shared" ref="L33:L38" si="3">K33*1/$K$24</f>
        <v>4.5158840469956961E-2</v>
      </c>
    </row>
    <row r="34" spans="1:13" ht="15.75" customHeight="1" x14ac:dyDescent="0.2">
      <c r="A34" s="9"/>
      <c r="B34" s="108" t="s">
        <v>36</v>
      </c>
      <c r="C34" s="99"/>
      <c r="D34" s="93" t="s">
        <v>30</v>
      </c>
      <c r="E34" s="99"/>
      <c r="F34" s="99"/>
      <c r="G34" s="109">
        <f>PL!D7/2</f>
        <v>2520</v>
      </c>
      <c r="H34" s="101">
        <f t="shared" si="1"/>
        <v>3.2514365138369009E-3</v>
      </c>
      <c r="I34" s="109">
        <f>PL!D7</f>
        <v>5040</v>
      </c>
      <c r="J34" s="101">
        <f t="shared" si="2"/>
        <v>6.5028730276738018E-3</v>
      </c>
      <c r="K34" s="110">
        <f>I34</f>
        <v>5040</v>
      </c>
      <c r="L34" s="101">
        <f t="shared" si="3"/>
        <v>6.5028730276738018E-3</v>
      </c>
    </row>
    <row r="35" spans="1:13" ht="15" x14ac:dyDescent="0.2">
      <c r="A35" s="9"/>
      <c r="B35" s="108" t="s">
        <v>37</v>
      </c>
      <c r="C35" s="74">
        <v>23639.87</v>
      </c>
      <c r="D35" s="111"/>
      <c r="E35" s="74">
        <v>23970.42</v>
      </c>
      <c r="F35" s="101">
        <f>E35*1/$E$24</f>
        <v>2.9751321934839703E-2</v>
      </c>
      <c r="G35" s="100">
        <f>E35</f>
        <v>23970.42</v>
      </c>
      <c r="H35" s="101">
        <f t="shared" si="1"/>
        <v>3.0927896365081874E-2</v>
      </c>
      <c r="I35" s="100">
        <f>G35</f>
        <v>23970.42</v>
      </c>
      <c r="J35" s="101">
        <f t="shared" si="2"/>
        <v>3.0927896365081874E-2</v>
      </c>
      <c r="K35" s="102">
        <f>G35</f>
        <v>23970.42</v>
      </c>
      <c r="L35" s="101">
        <f t="shared" si="3"/>
        <v>3.0927896365081874E-2</v>
      </c>
    </row>
    <row r="36" spans="1:13" ht="15" x14ac:dyDescent="0.2">
      <c r="A36" s="9"/>
      <c r="B36" s="108" t="s">
        <v>38</v>
      </c>
      <c r="C36" s="74">
        <v>68114.03</v>
      </c>
      <c r="D36" s="75"/>
      <c r="E36" s="74">
        <v>63532.86</v>
      </c>
      <c r="F36" s="101">
        <f>E36*1/$E$24</f>
        <v>7.8854962545549898E-2</v>
      </c>
      <c r="G36" s="109">
        <f>E36</f>
        <v>63532.86</v>
      </c>
      <c r="H36" s="101">
        <f t="shared" si="1"/>
        <v>8.1973436838288852E-2</v>
      </c>
      <c r="I36" s="109">
        <f>G36</f>
        <v>63532.86</v>
      </c>
      <c r="J36" s="101">
        <f t="shared" si="2"/>
        <v>8.1973436838288852E-2</v>
      </c>
      <c r="K36" s="110">
        <f>G36</f>
        <v>63532.86</v>
      </c>
      <c r="L36" s="101">
        <f t="shared" si="3"/>
        <v>8.1973436838288852E-2</v>
      </c>
    </row>
    <row r="37" spans="1:13" ht="15" x14ac:dyDescent="0.2">
      <c r="A37" s="9"/>
      <c r="B37" s="112" t="s">
        <v>39</v>
      </c>
      <c r="C37" s="113">
        <v>0</v>
      </c>
      <c r="D37" s="75"/>
      <c r="E37" s="113">
        <v>0</v>
      </c>
      <c r="F37" s="101">
        <f>E37*1/$E$24</f>
        <v>0</v>
      </c>
      <c r="G37" s="114">
        <f>E37</f>
        <v>0</v>
      </c>
      <c r="H37" s="101">
        <f t="shared" si="1"/>
        <v>0</v>
      </c>
      <c r="I37" s="114">
        <f>G37</f>
        <v>0</v>
      </c>
      <c r="J37" s="101">
        <f t="shared" si="2"/>
        <v>0</v>
      </c>
      <c r="K37" s="115">
        <f>G37</f>
        <v>0</v>
      </c>
      <c r="L37" s="101">
        <f t="shared" si="3"/>
        <v>0</v>
      </c>
    </row>
    <row r="38" spans="1:13" ht="15" x14ac:dyDescent="0.2">
      <c r="A38" s="9"/>
      <c r="B38" s="116" t="s">
        <v>40</v>
      </c>
      <c r="C38" s="117">
        <v>383945.63</v>
      </c>
      <c r="D38" s="118"/>
      <c r="E38" s="117">
        <v>413303.95</v>
      </c>
      <c r="F38" s="119">
        <f>E38*1/$E$24</f>
        <v>0.5129797005388681</v>
      </c>
      <c r="G38" s="120">
        <v>371690</v>
      </c>
      <c r="H38" s="119">
        <f t="shared" si="1"/>
        <v>0.47957398326509432</v>
      </c>
      <c r="I38" s="120">
        <v>360800</v>
      </c>
      <c r="J38" s="119">
        <f t="shared" si="2"/>
        <v>0.46552313261601341</v>
      </c>
      <c r="K38" s="121">
        <v>364500</v>
      </c>
      <c r="L38" s="119">
        <f t="shared" si="3"/>
        <v>0.47029706717998032</v>
      </c>
      <c r="M38" s="42"/>
    </row>
    <row r="39" spans="1:13" ht="15" x14ac:dyDescent="0.2">
      <c r="A39" s="122"/>
      <c r="B39" s="123"/>
      <c r="C39" s="124"/>
      <c r="D39" s="125"/>
      <c r="E39" s="124"/>
      <c r="F39" s="126">
        <f>SUM(F7+F11+F14+F15+F28+F30+F31+F32+F35+F36+F37+F38)</f>
        <v>0.99999994714590557</v>
      </c>
      <c r="G39" s="124"/>
      <c r="H39" s="126">
        <f>SUM(H7+H11+H14+H15+H28+H29+H30+H31+H32+H33+H34+H35+H36+H37+H38)</f>
        <v>0.99999929892480588</v>
      </c>
      <c r="I39" s="124"/>
      <c r="J39" s="126">
        <f>SUM(J7+J11+J14+J15+J28+J29+J33+J34+J35+J36+J37+J38)</f>
        <v>0.99989574674677939</v>
      </c>
      <c r="K39" s="124"/>
      <c r="L39" s="126">
        <f>SUM(L7+L11+L14+L15+L28+L29+L33+L34+L35+L36+L37+L38)</f>
        <v>0.99990782897662711</v>
      </c>
    </row>
    <row r="40" spans="1:13" ht="15" x14ac:dyDescent="0.2">
      <c r="A40" s="127"/>
      <c r="B40" s="128" t="s">
        <v>41</v>
      </c>
      <c r="C40" s="129">
        <f>SUM(C28:C38)</f>
        <v>535273.78</v>
      </c>
      <c r="D40" s="88"/>
      <c r="E40" s="129">
        <f>SUM(E28:E38)</f>
        <v>558554.62</v>
      </c>
      <c r="F40" s="66"/>
      <c r="G40" s="129">
        <f>SUM(G28:G38)</f>
        <v>530586.97499999998</v>
      </c>
      <c r="H40" s="66"/>
      <c r="I40" s="129">
        <f>SUM(I28:I38)</f>
        <v>533343.28</v>
      </c>
      <c r="J40" s="66"/>
      <c r="K40" s="129">
        <f>SUM(K28:K38)</f>
        <v>537043.28</v>
      </c>
      <c r="L40" s="66"/>
    </row>
    <row r="41" spans="1:13" ht="15" x14ac:dyDescent="0.2">
      <c r="A41" s="127"/>
      <c r="B41" s="128" t="s">
        <v>42</v>
      </c>
      <c r="C41" s="91">
        <f>C27-C40</f>
        <v>149259.12425082002</v>
      </c>
      <c r="D41" s="88"/>
      <c r="E41" s="91">
        <f>E27-E40</f>
        <v>4.2584153008647263E-2</v>
      </c>
      <c r="F41" s="66"/>
      <c r="G41" s="91">
        <f>G27-G40</f>
        <v>0.54336275113746524</v>
      </c>
      <c r="H41" s="66"/>
      <c r="I41" s="91">
        <f>I27-I40</f>
        <v>80.800654417718761</v>
      </c>
      <c r="J41" s="66"/>
      <c r="K41" s="91">
        <f>K27-K40</f>
        <v>71.436418306548148</v>
      </c>
      <c r="L41" s="66"/>
    </row>
    <row r="42" spans="1:13" ht="15" x14ac:dyDescent="0.2">
      <c r="C42" s="130" t="s">
        <v>43</v>
      </c>
    </row>
    <row r="43" spans="1:13" x14ac:dyDescent="0.2">
      <c r="E43" s="42"/>
      <c r="G43" s="42"/>
      <c r="I43" s="42"/>
      <c r="K43" s="42"/>
    </row>
    <row r="44" spans="1:13" x14ac:dyDescent="0.2">
      <c r="E44" s="42"/>
      <c r="F44" s="42"/>
    </row>
    <row r="45" spans="1:13" x14ac:dyDescent="0.2">
      <c r="G45" s="42"/>
    </row>
  </sheetData>
  <mergeCells count="6">
    <mergeCell ref="A28:A38"/>
    <mergeCell ref="A2:B2"/>
    <mergeCell ref="C4:D4"/>
    <mergeCell ref="A7:A15"/>
    <mergeCell ref="A18:A23"/>
    <mergeCell ref="A27:B27"/>
  </mergeCells>
  <printOptions horizontalCentered="1" verticalCentered="1"/>
  <pageMargins left="0.15763888888888899" right="0.15763888888888899" top="0.196527777777778" bottom="0.196527777777778" header="0.51180555555555496" footer="0.51180555555555496"/>
  <pageSetup paperSize="8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topLeftCell="A10" zoomScaleNormal="100" workbookViewId="0">
      <selection activeCell="D25" sqref="D25"/>
    </sheetView>
  </sheetViews>
  <sheetFormatPr defaultColWidth="8.5703125" defaultRowHeight="12.75" x14ac:dyDescent="0.2"/>
  <cols>
    <col min="1" max="1" width="23" customWidth="1"/>
    <col min="2" max="2" width="8.42578125" customWidth="1"/>
    <col min="3" max="3" width="13.140625" customWidth="1"/>
    <col min="4" max="5" width="17.85546875" customWidth="1"/>
    <col min="6" max="13" width="10.7109375" customWidth="1"/>
  </cols>
  <sheetData>
    <row r="1" spans="1:13" x14ac:dyDescent="0.2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4" customHeight="1" x14ac:dyDescent="0.2">
      <c r="A2" s="131" t="s">
        <v>45</v>
      </c>
      <c r="B2" s="132" t="s">
        <v>46</v>
      </c>
      <c r="C2" s="132" t="s">
        <v>47</v>
      </c>
      <c r="D2" s="133" t="s">
        <v>48</v>
      </c>
      <c r="E2" s="134" t="s">
        <v>49</v>
      </c>
      <c r="F2" s="5" t="s">
        <v>50</v>
      </c>
      <c r="G2" s="5"/>
      <c r="H2" s="5" t="s">
        <v>51</v>
      </c>
      <c r="I2" s="5"/>
      <c r="J2" s="5" t="s">
        <v>52</v>
      </c>
      <c r="K2" s="5"/>
      <c r="L2" s="5" t="s">
        <v>53</v>
      </c>
      <c r="M2" s="5"/>
    </row>
    <row r="3" spans="1:13" x14ac:dyDescent="0.2">
      <c r="A3" s="135" t="s">
        <v>54</v>
      </c>
      <c r="B3" s="136" t="s">
        <v>55</v>
      </c>
      <c r="C3" s="137">
        <v>43616</v>
      </c>
      <c r="D3" s="138">
        <f>'Quote PEO'!D12+'Quote PEO'!D13</f>
        <v>1154.5625</v>
      </c>
      <c r="E3" s="139">
        <v>497.52</v>
      </c>
      <c r="F3" s="140">
        <f>-D3/12*7</f>
        <v>-673.49479166666674</v>
      </c>
      <c r="G3" s="141">
        <f>-E3/12*7</f>
        <v>-290.22000000000003</v>
      </c>
      <c r="H3" s="140">
        <f t="shared" ref="H3:I10" si="0">-D3</f>
        <v>-1154.5625</v>
      </c>
      <c r="I3" s="141">
        <f t="shared" si="0"/>
        <v>-497.52</v>
      </c>
      <c r="J3" s="140">
        <f t="shared" ref="J3:J15" si="1">-D3</f>
        <v>-1154.5625</v>
      </c>
      <c r="K3" s="141">
        <f t="shared" ref="K3:K15" si="2">-E3</f>
        <v>-497.52</v>
      </c>
      <c r="L3" s="140">
        <f t="shared" ref="L3:L19" si="3">-D3</f>
        <v>-1154.5625</v>
      </c>
      <c r="M3" s="141">
        <f t="shared" ref="M3:M19" si="4">-E3</f>
        <v>-497.52</v>
      </c>
    </row>
    <row r="4" spans="1:13" x14ac:dyDescent="0.2">
      <c r="A4" s="135" t="s">
        <v>56</v>
      </c>
      <c r="B4" s="136" t="s">
        <v>57</v>
      </c>
      <c r="C4" s="137">
        <v>43677</v>
      </c>
      <c r="D4" s="138">
        <f>SUM('Quote PEO'!D20:D21)</f>
        <v>1115.5408333333328</v>
      </c>
      <c r="E4" s="139">
        <v>426.96</v>
      </c>
      <c r="F4" s="140">
        <f t="shared" ref="F4:G6" si="5">-D4/12*5</f>
        <v>-464.80868055555533</v>
      </c>
      <c r="G4" s="141">
        <f t="shared" si="5"/>
        <v>-177.89999999999998</v>
      </c>
      <c r="H4" s="140">
        <f t="shared" si="0"/>
        <v>-1115.5408333333328</v>
      </c>
      <c r="I4" s="141">
        <f t="shared" si="0"/>
        <v>-426.96</v>
      </c>
      <c r="J4" s="140">
        <f t="shared" si="1"/>
        <v>-1115.5408333333328</v>
      </c>
      <c r="K4" s="141">
        <f t="shared" si="2"/>
        <v>-426.96</v>
      </c>
      <c r="L4" s="140">
        <f t="shared" si="3"/>
        <v>-1115.5408333333328</v>
      </c>
      <c r="M4" s="141">
        <f t="shared" si="4"/>
        <v>-426.96</v>
      </c>
    </row>
    <row r="5" spans="1:13" x14ac:dyDescent="0.2">
      <c r="A5" s="135" t="s">
        <v>58</v>
      </c>
      <c r="B5" s="136" t="s">
        <v>59</v>
      </c>
      <c r="C5" s="137">
        <v>43677</v>
      </c>
      <c r="D5" s="138">
        <f>SUM('Quote PEO'!D19:D21)</f>
        <v>1418.3650000000023</v>
      </c>
      <c r="E5" s="139">
        <v>426.96</v>
      </c>
      <c r="F5" s="140">
        <f t="shared" si="5"/>
        <v>-590.98541666666756</v>
      </c>
      <c r="G5" s="141">
        <f t="shared" si="5"/>
        <v>-177.89999999999998</v>
      </c>
      <c r="H5" s="140">
        <f t="shared" si="0"/>
        <v>-1418.3650000000023</v>
      </c>
      <c r="I5" s="141">
        <f t="shared" si="0"/>
        <v>-426.96</v>
      </c>
      <c r="J5" s="140">
        <f t="shared" si="1"/>
        <v>-1418.3650000000023</v>
      </c>
      <c r="K5" s="141">
        <f t="shared" si="2"/>
        <v>-426.96</v>
      </c>
      <c r="L5" s="140">
        <f t="shared" si="3"/>
        <v>-1418.3650000000023</v>
      </c>
      <c r="M5" s="141">
        <f t="shared" si="4"/>
        <v>-426.96</v>
      </c>
    </row>
    <row r="6" spans="1:13" x14ac:dyDescent="0.2">
      <c r="A6" s="135" t="s">
        <v>60</v>
      </c>
      <c r="B6" s="136" t="s">
        <v>61</v>
      </c>
      <c r="C6" s="137">
        <v>43677</v>
      </c>
      <c r="D6" s="138">
        <f>'Quote PEO'!D21</f>
        <v>324.84833333333398</v>
      </c>
      <c r="E6" s="139">
        <v>426.96</v>
      </c>
      <c r="F6" s="140">
        <f t="shared" si="5"/>
        <v>-135.35347222222248</v>
      </c>
      <c r="G6" s="141">
        <f t="shared" si="5"/>
        <v>-177.89999999999998</v>
      </c>
      <c r="H6" s="140">
        <f t="shared" si="0"/>
        <v>-324.84833333333398</v>
      </c>
      <c r="I6" s="141">
        <f t="shared" si="0"/>
        <v>-426.96</v>
      </c>
      <c r="J6" s="140">
        <f t="shared" si="1"/>
        <v>-324.84833333333398</v>
      </c>
      <c r="K6" s="141">
        <f t="shared" si="2"/>
        <v>-426.96</v>
      </c>
      <c r="L6" s="140">
        <f t="shared" si="3"/>
        <v>-324.84833333333398</v>
      </c>
      <c r="M6" s="141">
        <f t="shared" si="4"/>
        <v>-426.96</v>
      </c>
    </row>
    <row r="7" spans="1:13" x14ac:dyDescent="0.2">
      <c r="A7" s="135" t="s">
        <v>62</v>
      </c>
      <c r="B7" s="136" t="s">
        <v>63</v>
      </c>
      <c r="C7" s="137">
        <v>43708</v>
      </c>
      <c r="D7" s="138">
        <f>'Quote PEO'!D19</f>
        <v>302.82416666666933</v>
      </c>
      <c r="E7" s="139">
        <v>426.96</v>
      </c>
      <c r="F7" s="140">
        <f t="shared" ref="F7:G9" si="6">-D7/12*4</f>
        <v>-100.94138888888978</v>
      </c>
      <c r="G7" s="141">
        <f t="shared" si="6"/>
        <v>-142.32</v>
      </c>
      <c r="H7" s="140">
        <f t="shared" si="0"/>
        <v>-302.82416666666933</v>
      </c>
      <c r="I7" s="141">
        <f t="shared" si="0"/>
        <v>-426.96</v>
      </c>
      <c r="J7" s="140">
        <f t="shared" si="1"/>
        <v>-302.82416666666933</v>
      </c>
      <c r="K7" s="141">
        <f t="shared" si="2"/>
        <v>-426.96</v>
      </c>
      <c r="L7" s="140">
        <f t="shared" si="3"/>
        <v>-302.82416666666933</v>
      </c>
      <c r="M7" s="141">
        <f t="shared" si="4"/>
        <v>-426.96</v>
      </c>
    </row>
    <row r="8" spans="1:13" x14ac:dyDescent="0.2">
      <c r="A8" s="135" t="s">
        <v>64</v>
      </c>
      <c r="B8" s="136" t="s">
        <v>65</v>
      </c>
      <c r="C8" s="137">
        <v>43708</v>
      </c>
      <c r="D8" s="138">
        <v>0</v>
      </c>
      <c r="E8" s="139">
        <v>563.4</v>
      </c>
      <c r="F8" s="140">
        <f t="shared" si="6"/>
        <v>0</v>
      </c>
      <c r="G8" s="141">
        <f t="shared" si="6"/>
        <v>-187.79999999999998</v>
      </c>
      <c r="H8" s="140">
        <f t="shared" si="0"/>
        <v>0</v>
      </c>
      <c r="I8" s="141">
        <f t="shared" si="0"/>
        <v>-563.4</v>
      </c>
      <c r="J8" s="140">
        <f t="shared" si="1"/>
        <v>0</v>
      </c>
      <c r="K8" s="141">
        <f t="shared" si="2"/>
        <v>-563.4</v>
      </c>
      <c r="L8" s="140">
        <f t="shared" si="3"/>
        <v>0</v>
      </c>
      <c r="M8" s="141">
        <f t="shared" si="4"/>
        <v>-563.4</v>
      </c>
    </row>
    <row r="9" spans="1:13" x14ac:dyDescent="0.2">
      <c r="A9" s="135" t="s">
        <v>66</v>
      </c>
      <c r="B9" s="136" t="s">
        <v>57</v>
      </c>
      <c r="C9" s="137">
        <v>43708</v>
      </c>
      <c r="D9" s="138">
        <f>SUM('Quote PEO'!D20:D21)</f>
        <v>1115.5408333333328</v>
      </c>
      <c r="E9" s="139">
        <v>426.96</v>
      </c>
      <c r="F9" s="140">
        <f t="shared" si="6"/>
        <v>-371.84694444444426</v>
      </c>
      <c r="G9" s="141">
        <f t="shared" si="6"/>
        <v>-142.32</v>
      </c>
      <c r="H9" s="140">
        <f t="shared" si="0"/>
        <v>-1115.5408333333328</v>
      </c>
      <c r="I9" s="141">
        <f t="shared" si="0"/>
        <v>-426.96</v>
      </c>
      <c r="J9" s="140">
        <f t="shared" si="1"/>
        <v>-1115.5408333333328</v>
      </c>
      <c r="K9" s="141">
        <f t="shared" si="2"/>
        <v>-426.96</v>
      </c>
      <c r="L9" s="140">
        <f t="shared" si="3"/>
        <v>-1115.5408333333328</v>
      </c>
      <c r="M9" s="141">
        <f t="shared" si="4"/>
        <v>-426.96</v>
      </c>
    </row>
    <row r="10" spans="1:13" x14ac:dyDescent="0.2">
      <c r="A10" s="142" t="s">
        <v>67</v>
      </c>
      <c r="B10" s="143" t="s">
        <v>59</v>
      </c>
      <c r="C10" s="144">
        <v>43769</v>
      </c>
      <c r="D10" s="145">
        <f>SUM('Quote PEO'!D19:D21)</f>
        <v>1418.3650000000023</v>
      </c>
      <c r="E10" s="146">
        <v>426.96</v>
      </c>
      <c r="F10" s="147">
        <f>-D10/12*2</f>
        <v>-236.39416666666705</v>
      </c>
      <c r="G10" s="148">
        <f>-E10/12*2</f>
        <v>-71.16</v>
      </c>
      <c r="H10" s="147">
        <f t="shared" si="0"/>
        <v>-1418.3650000000023</v>
      </c>
      <c r="I10" s="148">
        <f t="shared" si="0"/>
        <v>-426.96</v>
      </c>
      <c r="J10" s="147">
        <f t="shared" si="1"/>
        <v>-1418.3650000000023</v>
      </c>
      <c r="K10" s="148">
        <f t="shared" si="2"/>
        <v>-426.96</v>
      </c>
      <c r="L10" s="147">
        <f t="shared" si="3"/>
        <v>-1418.3650000000023</v>
      </c>
      <c r="M10" s="148">
        <f t="shared" si="4"/>
        <v>-426.96</v>
      </c>
    </row>
    <row r="11" spans="1:13" x14ac:dyDescent="0.2">
      <c r="A11" s="149" t="s">
        <v>68</v>
      </c>
      <c r="B11" s="150" t="s">
        <v>61</v>
      </c>
      <c r="C11" s="151">
        <v>43861</v>
      </c>
      <c r="D11" s="152">
        <f>'Quote PEO'!D21</f>
        <v>324.84833333333398</v>
      </c>
      <c r="E11" s="153">
        <v>426.96</v>
      </c>
      <c r="F11" s="154"/>
      <c r="G11" s="154"/>
      <c r="H11" s="155">
        <f>-D11/12*11</f>
        <v>-297.7776388888895</v>
      </c>
      <c r="I11" s="156">
        <f>-E11/12*11</f>
        <v>-391.38</v>
      </c>
      <c r="J11" s="155">
        <f t="shared" si="1"/>
        <v>-324.84833333333398</v>
      </c>
      <c r="K11" s="156">
        <f t="shared" si="2"/>
        <v>-426.96</v>
      </c>
      <c r="L11" s="155">
        <f t="shared" si="3"/>
        <v>-324.84833333333398</v>
      </c>
      <c r="M11" s="156">
        <f t="shared" si="4"/>
        <v>-426.96</v>
      </c>
    </row>
    <row r="12" spans="1:13" x14ac:dyDescent="0.2">
      <c r="A12" s="135" t="s">
        <v>69</v>
      </c>
      <c r="B12" s="136" t="s">
        <v>70</v>
      </c>
      <c r="C12" s="137">
        <v>43921</v>
      </c>
      <c r="D12" s="138">
        <f>SUM('Quote PEO'!D18:D19)</f>
        <v>656.6191666666673</v>
      </c>
      <c r="E12" s="139">
        <v>426.96</v>
      </c>
      <c r="F12" s="157"/>
      <c r="G12" s="157"/>
      <c r="H12" s="140">
        <f>-D12/12*9</f>
        <v>-492.46437500000047</v>
      </c>
      <c r="I12" s="141">
        <f>-E12/12*9</f>
        <v>-320.21999999999997</v>
      </c>
      <c r="J12" s="140">
        <f t="shared" si="1"/>
        <v>-656.6191666666673</v>
      </c>
      <c r="K12" s="141">
        <f t="shared" si="2"/>
        <v>-426.96</v>
      </c>
      <c r="L12" s="140">
        <f t="shared" si="3"/>
        <v>-656.6191666666673</v>
      </c>
      <c r="M12" s="141">
        <f t="shared" si="4"/>
        <v>-426.96</v>
      </c>
    </row>
    <row r="13" spans="1:13" x14ac:dyDescent="0.2">
      <c r="A13" s="135" t="s">
        <v>71</v>
      </c>
      <c r="B13" s="136" t="s">
        <v>72</v>
      </c>
      <c r="C13" s="137">
        <v>44074</v>
      </c>
      <c r="D13" s="138">
        <v>0</v>
      </c>
      <c r="E13" s="139">
        <v>426.96</v>
      </c>
      <c r="F13" s="157"/>
      <c r="G13" s="157"/>
      <c r="H13" s="140">
        <f>-D13</f>
        <v>0</v>
      </c>
      <c r="I13" s="141">
        <f>-E13/12*4</f>
        <v>-142.32</v>
      </c>
      <c r="J13" s="140">
        <f t="shared" si="1"/>
        <v>0</v>
      </c>
      <c r="K13" s="141">
        <f t="shared" si="2"/>
        <v>-426.96</v>
      </c>
      <c r="L13" s="140">
        <f t="shared" si="3"/>
        <v>0</v>
      </c>
      <c r="M13" s="141">
        <f t="shared" si="4"/>
        <v>-426.96</v>
      </c>
    </row>
    <row r="14" spans="1:13" x14ac:dyDescent="0.2">
      <c r="A14" s="135" t="s">
        <v>73</v>
      </c>
      <c r="B14" s="136" t="s">
        <v>74</v>
      </c>
      <c r="C14" s="137">
        <v>44104</v>
      </c>
      <c r="D14" s="138">
        <f>SUM('Quote PEO'!D17:D19)</f>
        <v>1034.9083333333326</v>
      </c>
      <c r="E14" s="139">
        <v>426.96</v>
      </c>
      <c r="F14" s="157"/>
      <c r="G14" s="157"/>
      <c r="H14" s="140">
        <f>-D14/12*3</f>
        <v>-258.72708333333316</v>
      </c>
      <c r="I14" s="141">
        <f>-E14/12*3</f>
        <v>-106.74</v>
      </c>
      <c r="J14" s="140">
        <f t="shared" si="1"/>
        <v>-1034.9083333333326</v>
      </c>
      <c r="K14" s="141">
        <f t="shared" si="2"/>
        <v>-426.96</v>
      </c>
      <c r="L14" s="140">
        <f t="shared" si="3"/>
        <v>-1034.9083333333326</v>
      </c>
      <c r="M14" s="141">
        <f t="shared" si="4"/>
        <v>-426.96</v>
      </c>
    </row>
    <row r="15" spans="1:13" x14ac:dyDescent="0.2">
      <c r="A15" s="142" t="s">
        <v>75</v>
      </c>
      <c r="B15" s="143" t="s">
        <v>61</v>
      </c>
      <c r="C15" s="144">
        <v>44135</v>
      </c>
      <c r="D15" s="145">
        <f>'Quote PEO'!D21</f>
        <v>324.84833333333398</v>
      </c>
      <c r="E15" s="146">
        <v>426.96</v>
      </c>
      <c r="F15" s="158"/>
      <c r="G15" s="158"/>
      <c r="H15" s="147">
        <f>-D15/12*2</f>
        <v>-54.141388888888997</v>
      </c>
      <c r="I15" s="148">
        <f>-E15/12*2</f>
        <v>-71.16</v>
      </c>
      <c r="J15" s="147">
        <f t="shared" si="1"/>
        <v>-324.84833333333398</v>
      </c>
      <c r="K15" s="148">
        <f t="shared" si="2"/>
        <v>-426.96</v>
      </c>
      <c r="L15" s="147">
        <f t="shared" si="3"/>
        <v>-324.84833333333398</v>
      </c>
      <c r="M15" s="148">
        <f t="shared" si="4"/>
        <v>-426.96</v>
      </c>
    </row>
    <row r="16" spans="1:13" x14ac:dyDescent="0.2">
      <c r="A16" s="149" t="s">
        <v>76</v>
      </c>
      <c r="B16" s="150" t="s">
        <v>57</v>
      </c>
      <c r="C16" s="151">
        <v>44286</v>
      </c>
      <c r="D16" s="152">
        <f>SUM('Quote PEO'!D20:D21)</f>
        <v>1115.5408333333328</v>
      </c>
      <c r="E16" s="153">
        <v>426.96</v>
      </c>
      <c r="F16" s="154"/>
      <c r="G16" s="154"/>
      <c r="H16" s="154"/>
      <c r="I16" s="154"/>
      <c r="J16" s="155">
        <f>-D16/12*9</f>
        <v>-836.65562499999965</v>
      </c>
      <c r="K16" s="156">
        <f>-E16/12*9</f>
        <v>-320.21999999999997</v>
      </c>
      <c r="L16" s="155">
        <f t="shared" si="3"/>
        <v>-1115.5408333333328</v>
      </c>
      <c r="M16" s="156">
        <f t="shared" si="4"/>
        <v>-426.96</v>
      </c>
    </row>
    <row r="17" spans="1:13" x14ac:dyDescent="0.2">
      <c r="A17" s="135" t="s">
        <v>77</v>
      </c>
      <c r="B17" s="136" t="s">
        <v>57</v>
      </c>
      <c r="C17" s="137">
        <v>44347</v>
      </c>
      <c r="D17" s="138">
        <f>SUM('Quote PEO'!D20:D21)</f>
        <v>1115.5408333333328</v>
      </c>
      <c r="E17" s="139">
        <v>426.96</v>
      </c>
      <c r="F17" s="157"/>
      <c r="G17" s="157"/>
      <c r="H17" s="157"/>
      <c r="I17" s="157"/>
      <c r="J17" s="140">
        <f>-D17/12*7</f>
        <v>-650.7321527777774</v>
      </c>
      <c r="K17" s="141">
        <f>-E17/12*7</f>
        <v>-249.06</v>
      </c>
      <c r="L17" s="140">
        <f t="shared" si="3"/>
        <v>-1115.5408333333328</v>
      </c>
      <c r="M17" s="141">
        <f t="shared" si="4"/>
        <v>-426.96</v>
      </c>
    </row>
    <row r="18" spans="1:13" x14ac:dyDescent="0.2">
      <c r="A18" s="135" t="s">
        <v>78</v>
      </c>
      <c r="B18" s="136" t="s">
        <v>70</v>
      </c>
      <c r="C18" s="137">
        <v>44377</v>
      </c>
      <c r="D18" s="138">
        <f>SUM('Quote PEO'!D18:D19)</f>
        <v>656.6191666666673</v>
      </c>
      <c r="E18" s="139">
        <v>426.96</v>
      </c>
      <c r="F18" s="157"/>
      <c r="G18" s="157"/>
      <c r="H18" s="157"/>
      <c r="I18" s="157"/>
      <c r="J18" s="140">
        <f>-D18/12*6</f>
        <v>-328.30958333333365</v>
      </c>
      <c r="K18" s="141">
        <f>-E18/12*6</f>
        <v>-213.48</v>
      </c>
      <c r="L18" s="140">
        <f t="shared" si="3"/>
        <v>-656.6191666666673</v>
      </c>
      <c r="M18" s="141">
        <f t="shared" si="4"/>
        <v>-426.96</v>
      </c>
    </row>
    <row r="19" spans="1:13" x14ac:dyDescent="0.2">
      <c r="A19" s="135" t="s">
        <v>79</v>
      </c>
      <c r="B19" s="136" t="s">
        <v>74</v>
      </c>
      <c r="C19" s="137">
        <v>44500</v>
      </c>
      <c r="D19" s="138">
        <f>SUM('Quote PEO'!D17:D19)</f>
        <v>1034.9083333333326</v>
      </c>
      <c r="E19" s="139">
        <v>426.96</v>
      </c>
      <c r="F19" s="157"/>
      <c r="G19" s="157"/>
      <c r="H19" s="157"/>
      <c r="I19" s="157"/>
      <c r="J19" s="140">
        <f>-D19/12*2</f>
        <v>-172.4847222222221</v>
      </c>
      <c r="K19" s="141">
        <f>-E19/12*2</f>
        <v>-71.16</v>
      </c>
      <c r="L19" s="140">
        <f t="shared" si="3"/>
        <v>-1034.9083333333326</v>
      </c>
      <c r="M19" s="141">
        <f t="shared" si="4"/>
        <v>-426.96</v>
      </c>
    </row>
    <row r="20" spans="1:13" x14ac:dyDescent="0.2">
      <c r="A20" s="159"/>
      <c r="B20" s="159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</row>
    <row r="21" spans="1:13" x14ac:dyDescent="0.2">
      <c r="A21" s="161"/>
      <c r="B21" s="161"/>
      <c r="C21" s="161"/>
      <c r="D21" s="161"/>
      <c r="E21" s="162" t="s">
        <v>80</v>
      </c>
      <c r="F21" s="140">
        <f t="shared" ref="F21:M21" si="7">SUM(F3:F19)</f>
        <v>-2573.824861111113</v>
      </c>
      <c r="G21" s="141">
        <f t="shared" si="7"/>
        <v>-1367.52</v>
      </c>
      <c r="H21" s="140">
        <f t="shared" si="7"/>
        <v>-7953.157152777786</v>
      </c>
      <c r="I21" s="141">
        <f t="shared" si="7"/>
        <v>-4654.5</v>
      </c>
      <c r="J21" s="140">
        <f t="shared" si="7"/>
        <v>-11179.452916666673</v>
      </c>
      <c r="K21" s="141">
        <f t="shared" si="7"/>
        <v>-6611.4000000000005</v>
      </c>
      <c r="L21" s="140">
        <f t="shared" si="7"/>
        <v>-13113.880000000006</v>
      </c>
      <c r="M21" s="141">
        <f t="shared" si="7"/>
        <v>-7465.3200000000006</v>
      </c>
    </row>
    <row r="23" spans="1:13" x14ac:dyDescent="0.2">
      <c r="A23" s="6" t="s">
        <v>81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54" customHeight="1" x14ac:dyDescent="0.2">
      <c r="A24" s="131" t="s">
        <v>45</v>
      </c>
      <c r="B24" s="132" t="s">
        <v>82</v>
      </c>
      <c r="C24" s="132" t="s">
        <v>83</v>
      </c>
      <c r="D24" s="133" t="s">
        <v>48</v>
      </c>
      <c r="E24" s="134" t="s">
        <v>49</v>
      </c>
      <c r="F24" s="5" t="s">
        <v>50</v>
      </c>
      <c r="G24" s="5"/>
      <c r="H24" s="5" t="s">
        <v>51</v>
      </c>
      <c r="I24" s="5"/>
      <c r="J24" s="5" t="s">
        <v>52</v>
      </c>
      <c r="K24" s="5"/>
      <c r="L24" s="5" t="s">
        <v>53</v>
      </c>
      <c r="M24" s="5"/>
    </row>
    <row r="25" spans="1:13" x14ac:dyDescent="0.2">
      <c r="A25" s="135"/>
      <c r="B25" s="131" t="s">
        <v>84</v>
      </c>
      <c r="C25" s="137">
        <v>43739</v>
      </c>
      <c r="D25" s="139">
        <v>0</v>
      </c>
      <c r="E25" s="139">
        <f>'quota comparto'!F3</f>
        <v>497.52</v>
      </c>
      <c r="F25" s="140">
        <f t="shared" ref="F25:F34" si="8">D25</f>
        <v>0</v>
      </c>
      <c r="G25" s="141">
        <f t="shared" ref="G25:G34" si="9">E25/12*3</f>
        <v>124.38</v>
      </c>
      <c r="H25" s="140">
        <f t="shared" ref="H25:H38" si="10">D25</f>
        <v>0</v>
      </c>
      <c r="I25" s="141">
        <f t="shared" ref="I25:I38" si="11">E25</f>
        <v>497.52</v>
      </c>
      <c r="J25" s="140">
        <f t="shared" ref="J25:J41" si="12">D25</f>
        <v>0</v>
      </c>
      <c r="K25" s="141">
        <f t="shared" ref="K25:K41" si="13">E25</f>
        <v>497.52</v>
      </c>
      <c r="L25" s="140"/>
      <c r="M25" s="141"/>
    </row>
    <row r="26" spans="1:13" x14ac:dyDescent="0.2">
      <c r="A26" s="135"/>
      <c r="B26" s="131" t="s">
        <v>84</v>
      </c>
      <c r="C26" s="137">
        <v>43739</v>
      </c>
      <c r="D26" s="139">
        <v>0</v>
      </c>
      <c r="E26" s="139">
        <f>E25</f>
        <v>497.52</v>
      </c>
      <c r="F26" s="140">
        <f t="shared" si="8"/>
        <v>0</v>
      </c>
      <c r="G26" s="141">
        <f t="shared" si="9"/>
        <v>124.38</v>
      </c>
      <c r="H26" s="140">
        <f t="shared" si="10"/>
        <v>0</v>
      </c>
      <c r="I26" s="141">
        <f t="shared" si="11"/>
        <v>497.52</v>
      </c>
      <c r="J26" s="140">
        <f t="shared" si="12"/>
        <v>0</v>
      </c>
      <c r="K26" s="141">
        <f t="shared" si="13"/>
        <v>497.52</v>
      </c>
      <c r="L26" s="140"/>
      <c r="M26" s="141"/>
    </row>
    <row r="27" spans="1:13" x14ac:dyDescent="0.2">
      <c r="A27" s="135"/>
      <c r="B27" s="131" t="s">
        <v>84</v>
      </c>
      <c r="C27" s="137">
        <v>43739</v>
      </c>
      <c r="D27" s="139">
        <v>0</v>
      </c>
      <c r="E27" s="139">
        <f>E26</f>
        <v>497.52</v>
      </c>
      <c r="F27" s="140">
        <f t="shared" si="8"/>
        <v>0</v>
      </c>
      <c r="G27" s="141">
        <f t="shared" si="9"/>
        <v>124.38</v>
      </c>
      <c r="H27" s="140">
        <f t="shared" si="10"/>
        <v>0</v>
      </c>
      <c r="I27" s="141">
        <f t="shared" si="11"/>
        <v>497.52</v>
      </c>
      <c r="J27" s="140">
        <f t="shared" si="12"/>
        <v>0</v>
      </c>
      <c r="K27" s="141">
        <f t="shared" si="13"/>
        <v>497.52</v>
      </c>
      <c r="L27" s="140"/>
      <c r="M27" s="141"/>
    </row>
    <row r="28" spans="1:13" x14ac:dyDescent="0.2">
      <c r="A28" s="135"/>
      <c r="B28" s="131" t="s">
        <v>84</v>
      </c>
      <c r="C28" s="137">
        <v>43739</v>
      </c>
      <c r="D28" s="139">
        <v>0</v>
      </c>
      <c r="E28" s="139">
        <f>E27</f>
        <v>497.52</v>
      </c>
      <c r="F28" s="140">
        <f t="shared" si="8"/>
        <v>0</v>
      </c>
      <c r="G28" s="141">
        <f t="shared" si="9"/>
        <v>124.38</v>
      </c>
      <c r="H28" s="140">
        <f t="shared" si="10"/>
        <v>0</v>
      </c>
      <c r="I28" s="141">
        <f t="shared" si="11"/>
        <v>497.52</v>
      </c>
      <c r="J28" s="140">
        <f t="shared" si="12"/>
        <v>0</v>
      </c>
      <c r="K28" s="141">
        <f t="shared" si="13"/>
        <v>497.52</v>
      </c>
      <c r="L28" s="140"/>
      <c r="M28" s="141"/>
    </row>
    <row r="29" spans="1:13" x14ac:dyDescent="0.2">
      <c r="A29" s="135"/>
      <c r="B29" s="131" t="s">
        <v>84</v>
      </c>
      <c r="C29" s="137">
        <v>43739</v>
      </c>
      <c r="D29" s="139">
        <v>0</v>
      </c>
      <c r="E29" s="139">
        <f>E28</f>
        <v>497.52</v>
      </c>
      <c r="F29" s="140">
        <f t="shared" si="8"/>
        <v>0</v>
      </c>
      <c r="G29" s="141">
        <f t="shared" si="9"/>
        <v>124.38</v>
      </c>
      <c r="H29" s="140">
        <f t="shared" si="10"/>
        <v>0</v>
      </c>
      <c r="I29" s="141">
        <f t="shared" si="11"/>
        <v>497.52</v>
      </c>
      <c r="J29" s="140">
        <f t="shared" si="12"/>
        <v>0</v>
      </c>
      <c r="K29" s="141">
        <f t="shared" si="13"/>
        <v>497.52</v>
      </c>
      <c r="L29" s="140"/>
      <c r="M29" s="141"/>
    </row>
    <row r="30" spans="1:13" x14ac:dyDescent="0.2">
      <c r="A30" s="135"/>
      <c r="B30" s="131" t="s">
        <v>85</v>
      </c>
      <c r="C30" s="137">
        <v>43739</v>
      </c>
      <c r="D30" s="139">
        <v>0</v>
      </c>
      <c r="E30" s="139">
        <f>'quota comparto'!F2</f>
        <v>563.40000000000009</v>
      </c>
      <c r="F30" s="140">
        <f t="shared" si="8"/>
        <v>0</v>
      </c>
      <c r="G30" s="141">
        <f t="shared" si="9"/>
        <v>140.85000000000002</v>
      </c>
      <c r="H30" s="140">
        <f t="shared" si="10"/>
        <v>0</v>
      </c>
      <c r="I30" s="141">
        <f t="shared" si="11"/>
        <v>563.40000000000009</v>
      </c>
      <c r="J30" s="140">
        <f t="shared" si="12"/>
        <v>0</v>
      </c>
      <c r="K30" s="141">
        <f t="shared" si="13"/>
        <v>563.40000000000009</v>
      </c>
      <c r="L30" s="140"/>
      <c r="M30" s="141"/>
    </row>
    <row r="31" spans="1:13" x14ac:dyDescent="0.2">
      <c r="A31" s="135"/>
      <c r="B31" s="131" t="s">
        <v>85</v>
      </c>
      <c r="C31" s="137">
        <v>43739</v>
      </c>
      <c r="D31" s="139">
        <v>0</v>
      </c>
      <c r="E31" s="139">
        <f>E30</f>
        <v>563.40000000000009</v>
      </c>
      <c r="F31" s="140">
        <f t="shared" si="8"/>
        <v>0</v>
      </c>
      <c r="G31" s="141">
        <f t="shared" si="9"/>
        <v>140.85000000000002</v>
      </c>
      <c r="H31" s="140">
        <f t="shared" si="10"/>
        <v>0</v>
      </c>
      <c r="I31" s="141">
        <f t="shared" si="11"/>
        <v>563.40000000000009</v>
      </c>
      <c r="J31" s="140">
        <f t="shared" si="12"/>
        <v>0</v>
      </c>
      <c r="K31" s="141">
        <f t="shared" si="13"/>
        <v>563.40000000000009</v>
      </c>
      <c r="L31" s="140"/>
      <c r="M31" s="141"/>
    </row>
    <row r="32" spans="1:13" x14ac:dyDescent="0.2">
      <c r="A32" s="135"/>
      <c r="B32" s="131" t="s">
        <v>85</v>
      </c>
      <c r="C32" s="137">
        <v>43739</v>
      </c>
      <c r="D32" s="139">
        <v>0</v>
      </c>
      <c r="E32" s="139">
        <f>E31</f>
        <v>563.40000000000009</v>
      </c>
      <c r="F32" s="140">
        <f t="shared" si="8"/>
        <v>0</v>
      </c>
      <c r="G32" s="141">
        <f t="shared" si="9"/>
        <v>140.85000000000002</v>
      </c>
      <c r="H32" s="140">
        <f t="shared" si="10"/>
        <v>0</v>
      </c>
      <c r="I32" s="141">
        <f t="shared" si="11"/>
        <v>563.40000000000009</v>
      </c>
      <c r="J32" s="140">
        <f t="shared" si="12"/>
        <v>0</v>
      </c>
      <c r="K32" s="141">
        <f t="shared" si="13"/>
        <v>563.40000000000009</v>
      </c>
      <c r="L32" s="140"/>
      <c r="M32" s="141"/>
    </row>
    <row r="33" spans="1:13" x14ac:dyDescent="0.2">
      <c r="A33" s="135"/>
      <c r="B33" s="131" t="s">
        <v>86</v>
      </c>
      <c r="C33" s="137">
        <v>43739</v>
      </c>
      <c r="D33" s="139">
        <v>0</v>
      </c>
      <c r="E33" s="139">
        <f>'quota comparto'!F4</f>
        <v>426.96</v>
      </c>
      <c r="F33" s="140">
        <f t="shared" si="8"/>
        <v>0</v>
      </c>
      <c r="G33" s="141">
        <f t="shared" si="9"/>
        <v>106.74</v>
      </c>
      <c r="H33" s="140">
        <f t="shared" si="10"/>
        <v>0</v>
      </c>
      <c r="I33" s="141">
        <f t="shared" si="11"/>
        <v>426.96</v>
      </c>
      <c r="J33" s="140">
        <f t="shared" si="12"/>
        <v>0</v>
      </c>
      <c r="K33" s="141">
        <f t="shared" si="13"/>
        <v>426.96</v>
      </c>
      <c r="L33" s="140"/>
      <c r="M33" s="141"/>
    </row>
    <row r="34" spans="1:13" x14ac:dyDescent="0.2">
      <c r="A34" s="142"/>
      <c r="B34" s="163" t="s">
        <v>86</v>
      </c>
      <c r="C34" s="144">
        <v>43739</v>
      </c>
      <c r="D34" s="146">
        <v>0</v>
      </c>
      <c r="E34" s="146">
        <f>E33</f>
        <v>426.96</v>
      </c>
      <c r="F34" s="147">
        <f t="shared" si="8"/>
        <v>0</v>
      </c>
      <c r="G34" s="148">
        <f t="shared" si="9"/>
        <v>106.74</v>
      </c>
      <c r="H34" s="147">
        <f t="shared" si="10"/>
        <v>0</v>
      </c>
      <c r="I34" s="148">
        <f t="shared" si="11"/>
        <v>426.96</v>
      </c>
      <c r="J34" s="147">
        <f t="shared" si="12"/>
        <v>0</v>
      </c>
      <c r="K34" s="148">
        <f t="shared" si="13"/>
        <v>426.96</v>
      </c>
      <c r="L34" s="147"/>
      <c r="M34" s="148"/>
    </row>
    <row r="35" spans="1:13" x14ac:dyDescent="0.2">
      <c r="A35" s="149"/>
      <c r="B35" s="164" t="s">
        <v>84</v>
      </c>
      <c r="C35" s="151">
        <v>44105</v>
      </c>
      <c r="D35" s="153">
        <v>0</v>
      </c>
      <c r="E35" s="153">
        <f>E25</f>
        <v>497.52</v>
      </c>
      <c r="F35" s="154"/>
      <c r="G35" s="154"/>
      <c r="H35" s="155">
        <f t="shared" si="10"/>
        <v>0</v>
      </c>
      <c r="I35" s="156">
        <f t="shared" si="11"/>
        <v>497.52</v>
      </c>
      <c r="J35" s="155">
        <f t="shared" si="12"/>
        <v>0</v>
      </c>
      <c r="K35" s="156">
        <f t="shared" si="13"/>
        <v>497.52</v>
      </c>
      <c r="L35" s="155"/>
      <c r="M35" s="156"/>
    </row>
    <row r="36" spans="1:13" x14ac:dyDescent="0.2">
      <c r="A36" s="135"/>
      <c r="B36" s="131" t="s">
        <v>84</v>
      </c>
      <c r="C36" s="137">
        <v>44105</v>
      </c>
      <c r="D36" s="139">
        <v>0</v>
      </c>
      <c r="E36" s="139">
        <f>E26</f>
        <v>497.52</v>
      </c>
      <c r="F36" s="157"/>
      <c r="G36" s="157"/>
      <c r="H36" s="140">
        <f t="shared" si="10"/>
        <v>0</v>
      </c>
      <c r="I36" s="141">
        <f t="shared" si="11"/>
        <v>497.52</v>
      </c>
      <c r="J36" s="140">
        <f t="shared" si="12"/>
        <v>0</v>
      </c>
      <c r="K36" s="141">
        <f t="shared" si="13"/>
        <v>497.52</v>
      </c>
      <c r="L36" s="140"/>
      <c r="M36" s="141"/>
    </row>
    <row r="37" spans="1:13" x14ac:dyDescent="0.2">
      <c r="A37" s="135"/>
      <c r="B37" s="131" t="s">
        <v>84</v>
      </c>
      <c r="C37" s="151">
        <v>44105</v>
      </c>
      <c r="D37" s="139">
        <v>0</v>
      </c>
      <c r="E37" s="139">
        <f>E27</f>
        <v>497.52</v>
      </c>
      <c r="F37" s="157"/>
      <c r="G37" s="157"/>
      <c r="H37" s="140">
        <f t="shared" si="10"/>
        <v>0</v>
      </c>
      <c r="I37" s="141">
        <f t="shared" si="11"/>
        <v>497.52</v>
      </c>
      <c r="J37" s="140">
        <f t="shared" si="12"/>
        <v>0</v>
      </c>
      <c r="K37" s="141">
        <f t="shared" si="13"/>
        <v>497.52</v>
      </c>
      <c r="L37" s="140"/>
      <c r="M37" s="141"/>
    </row>
    <row r="38" spans="1:13" x14ac:dyDescent="0.2">
      <c r="A38" s="142"/>
      <c r="B38" s="163" t="s">
        <v>85</v>
      </c>
      <c r="C38" s="144">
        <v>44105</v>
      </c>
      <c r="D38" s="146">
        <v>0</v>
      </c>
      <c r="E38" s="146">
        <f>E32</f>
        <v>563.40000000000009</v>
      </c>
      <c r="F38" s="158"/>
      <c r="G38" s="158"/>
      <c r="H38" s="147">
        <f t="shared" si="10"/>
        <v>0</v>
      </c>
      <c r="I38" s="148">
        <f t="shared" si="11"/>
        <v>563.40000000000009</v>
      </c>
      <c r="J38" s="147">
        <f t="shared" si="12"/>
        <v>0</v>
      </c>
      <c r="K38" s="148">
        <f t="shared" si="13"/>
        <v>563.40000000000009</v>
      </c>
      <c r="L38" s="147"/>
      <c r="M38" s="148"/>
    </row>
    <row r="39" spans="1:13" x14ac:dyDescent="0.2">
      <c r="A39" s="149"/>
      <c r="B39" s="164" t="s">
        <v>84</v>
      </c>
      <c r="C39" s="151">
        <v>44470</v>
      </c>
      <c r="D39" s="153">
        <v>0</v>
      </c>
      <c r="E39" s="153">
        <f>E25</f>
        <v>497.52</v>
      </c>
      <c r="F39" s="154"/>
      <c r="G39" s="154"/>
      <c r="H39" s="154"/>
      <c r="I39" s="154"/>
      <c r="J39" s="155">
        <f t="shared" si="12"/>
        <v>0</v>
      </c>
      <c r="K39" s="156">
        <f t="shared" si="13"/>
        <v>497.52</v>
      </c>
      <c r="L39" s="155"/>
      <c r="M39" s="156"/>
    </row>
    <row r="40" spans="1:13" x14ac:dyDescent="0.2">
      <c r="A40" s="135"/>
      <c r="B40" s="131" t="s">
        <v>84</v>
      </c>
      <c r="C40" s="137">
        <v>44470</v>
      </c>
      <c r="D40" s="139">
        <v>0</v>
      </c>
      <c r="E40" s="139">
        <f>E39</f>
        <v>497.52</v>
      </c>
      <c r="F40" s="157"/>
      <c r="G40" s="157"/>
      <c r="H40" s="157"/>
      <c r="I40" s="157"/>
      <c r="J40" s="140">
        <f t="shared" si="12"/>
        <v>0</v>
      </c>
      <c r="K40" s="141">
        <f t="shared" si="13"/>
        <v>497.52</v>
      </c>
      <c r="L40" s="140"/>
      <c r="M40" s="141"/>
    </row>
    <row r="41" spans="1:13" x14ac:dyDescent="0.2">
      <c r="A41" s="135"/>
      <c r="B41" s="131" t="s">
        <v>84</v>
      </c>
      <c r="C41" s="151">
        <v>44470</v>
      </c>
      <c r="D41" s="139">
        <v>0</v>
      </c>
      <c r="E41" s="139">
        <f>E40</f>
        <v>497.52</v>
      </c>
      <c r="F41" s="157"/>
      <c r="G41" s="157"/>
      <c r="H41" s="157"/>
      <c r="I41" s="157"/>
      <c r="J41" s="140">
        <f t="shared" si="12"/>
        <v>0</v>
      </c>
      <c r="K41" s="141">
        <f t="shared" si="13"/>
        <v>497.52</v>
      </c>
      <c r="L41" s="140"/>
      <c r="M41" s="141"/>
    </row>
    <row r="42" spans="1:13" x14ac:dyDescent="0.2">
      <c r="A42" s="165"/>
      <c r="B42" s="165"/>
      <c r="C42" s="160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x14ac:dyDescent="0.2">
      <c r="E43" s="162" t="s">
        <v>80</v>
      </c>
      <c r="F43" s="140">
        <f t="shared" ref="F43:M43" si="14">SUM(F25:F41)</f>
        <v>0</v>
      </c>
      <c r="G43" s="141">
        <f t="shared" si="14"/>
        <v>1257.93</v>
      </c>
      <c r="H43" s="140">
        <f t="shared" si="14"/>
        <v>0</v>
      </c>
      <c r="I43" s="141">
        <f t="shared" si="14"/>
        <v>7087.68</v>
      </c>
      <c r="J43" s="140">
        <f t="shared" si="14"/>
        <v>0</v>
      </c>
      <c r="K43" s="141">
        <f t="shared" si="14"/>
        <v>8580.2400000000016</v>
      </c>
      <c r="L43" s="140">
        <f t="shared" si="14"/>
        <v>0</v>
      </c>
      <c r="M43" s="141">
        <f t="shared" si="14"/>
        <v>0</v>
      </c>
    </row>
    <row r="44" spans="1:13" x14ac:dyDescent="0.2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x14ac:dyDescent="0.2">
      <c r="A45" s="167"/>
      <c r="B45" s="167"/>
      <c r="C45" s="167"/>
      <c r="D45" s="4" t="s">
        <v>87</v>
      </c>
      <c r="E45" s="4"/>
      <c r="F45" s="140">
        <f t="shared" ref="F45:M45" si="15">F21+F43</f>
        <v>-2573.824861111113</v>
      </c>
      <c r="G45" s="141">
        <f t="shared" si="15"/>
        <v>-109.58999999999992</v>
      </c>
      <c r="H45" s="140">
        <f t="shared" si="15"/>
        <v>-7953.157152777786</v>
      </c>
      <c r="I45" s="141">
        <f t="shared" si="15"/>
        <v>2433.1800000000003</v>
      </c>
      <c r="J45" s="140">
        <f t="shared" si="15"/>
        <v>-11179.452916666673</v>
      </c>
      <c r="K45" s="141">
        <f t="shared" si="15"/>
        <v>1968.8400000000011</v>
      </c>
      <c r="L45" s="140">
        <f t="shared" si="15"/>
        <v>-13113.880000000006</v>
      </c>
      <c r="M45" s="141">
        <f t="shared" si="15"/>
        <v>-7465.3200000000006</v>
      </c>
    </row>
    <row r="46" spans="1:13" x14ac:dyDescent="0.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</sheetData>
  <mergeCells count="11">
    <mergeCell ref="D45:E45"/>
    <mergeCell ref="A23:M23"/>
    <mergeCell ref="F24:G24"/>
    <mergeCell ref="H24:I24"/>
    <mergeCell ref="J24:K24"/>
    <mergeCell ref="L24:M24"/>
    <mergeCell ref="A1:M1"/>
    <mergeCell ref="F2:G2"/>
    <mergeCell ref="H2:I2"/>
    <mergeCell ref="J2:K2"/>
    <mergeCell ref="L2:M2"/>
  </mergeCells>
  <printOptions horizontalCentered="1" verticalCentered="1"/>
  <pageMargins left="0" right="0" top="0" bottom="0" header="0.51180555555555496" footer="0.51180555555555496"/>
  <pageSetup paperSize="8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"/>
  <sheetViews>
    <sheetView zoomScaleNormal="100" workbookViewId="0">
      <selection activeCell="B3" sqref="B3"/>
    </sheetView>
  </sheetViews>
  <sheetFormatPr defaultColWidth="8.5703125" defaultRowHeight="12.75" x14ac:dyDescent="0.2"/>
  <cols>
    <col min="1" max="1" width="22" customWidth="1"/>
    <col min="2" max="2" width="8.42578125" customWidth="1"/>
    <col min="3" max="3" width="13.140625" customWidth="1"/>
    <col min="4" max="5" width="17.85546875" customWidth="1"/>
    <col min="6" max="13" width="10.7109375" customWidth="1"/>
  </cols>
  <sheetData>
    <row r="1" spans="1:13" x14ac:dyDescent="0.2">
      <c r="A1" s="6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4" customHeight="1" x14ac:dyDescent="0.2">
      <c r="A2" s="131" t="s">
        <v>45</v>
      </c>
      <c r="B2" s="132" t="s">
        <v>46</v>
      </c>
      <c r="C2" s="132" t="s">
        <v>47</v>
      </c>
      <c r="D2" s="133" t="s">
        <v>89</v>
      </c>
      <c r="E2" s="134" t="s">
        <v>90</v>
      </c>
      <c r="F2" s="5" t="s">
        <v>50</v>
      </c>
      <c r="G2" s="5"/>
      <c r="H2" s="5" t="s">
        <v>51</v>
      </c>
      <c r="I2" s="5"/>
      <c r="J2" s="5" t="s">
        <v>52</v>
      </c>
      <c r="K2" s="5"/>
      <c r="L2" s="5" t="s">
        <v>53</v>
      </c>
      <c r="M2" s="5"/>
    </row>
    <row r="3" spans="1:13" x14ac:dyDescent="0.2">
      <c r="A3" s="135" t="s">
        <v>91</v>
      </c>
      <c r="B3" s="131" t="s">
        <v>92</v>
      </c>
      <c r="C3" s="137">
        <v>43708</v>
      </c>
      <c r="D3" s="139">
        <f>30.21*13</f>
        <v>392.73</v>
      </c>
      <c r="E3" s="139"/>
      <c r="F3" s="140">
        <f>D3/12*4</f>
        <v>130.91</v>
      </c>
      <c r="G3" s="141">
        <f>E3/12*4</f>
        <v>0</v>
      </c>
      <c r="H3" s="140">
        <f>D3</f>
        <v>392.73</v>
      </c>
      <c r="I3" s="141">
        <f>E3</f>
        <v>0</v>
      </c>
      <c r="J3" s="140">
        <f t="shared" ref="J3:K5" si="0">D3</f>
        <v>392.73</v>
      </c>
      <c r="K3" s="141">
        <f t="shared" si="0"/>
        <v>0</v>
      </c>
      <c r="L3" s="140">
        <f t="shared" ref="L3:M6" si="1">D3</f>
        <v>392.73</v>
      </c>
      <c r="M3" s="141">
        <f t="shared" si="1"/>
        <v>0</v>
      </c>
    </row>
    <row r="4" spans="1:13" x14ac:dyDescent="0.2">
      <c r="A4" s="135" t="s">
        <v>93</v>
      </c>
      <c r="B4" s="131" t="s">
        <v>94</v>
      </c>
      <c r="C4" s="137">
        <v>43861</v>
      </c>
      <c r="D4" s="139"/>
      <c r="E4" s="139">
        <f>14.9*13</f>
        <v>193.70000000000002</v>
      </c>
      <c r="F4" s="157"/>
      <c r="G4" s="157"/>
      <c r="H4" s="140">
        <f>D4/12*11</f>
        <v>0</v>
      </c>
      <c r="I4" s="141">
        <f>E4/12*11</f>
        <v>177.55833333333337</v>
      </c>
      <c r="J4" s="140">
        <f t="shared" si="0"/>
        <v>0</v>
      </c>
      <c r="K4" s="141">
        <f t="shared" si="0"/>
        <v>193.70000000000002</v>
      </c>
      <c r="L4" s="140">
        <f t="shared" si="1"/>
        <v>0</v>
      </c>
      <c r="M4" s="141">
        <f t="shared" si="1"/>
        <v>193.70000000000002</v>
      </c>
    </row>
    <row r="5" spans="1:13" x14ac:dyDescent="0.2">
      <c r="A5" s="135" t="s">
        <v>95</v>
      </c>
      <c r="B5" s="131" t="s">
        <v>59</v>
      </c>
      <c r="C5" s="137">
        <v>43921</v>
      </c>
      <c r="D5" s="139"/>
      <c r="E5" s="139"/>
      <c r="F5" s="157"/>
      <c r="G5" s="157"/>
      <c r="H5" s="140">
        <f>D5/12*9</f>
        <v>0</v>
      </c>
      <c r="I5" s="141">
        <f>E5/12*9</f>
        <v>0</v>
      </c>
      <c r="J5" s="140">
        <f t="shared" si="0"/>
        <v>0</v>
      </c>
      <c r="K5" s="141">
        <f t="shared" si="0"/>
        <v>0</v>
      </c>
      <c r="L5" s="140">
        <f t="shared" si="1"/>
        <v>0</v>
      </c>
      <c r="M5" s="141">
        <f t="shared" si="1"/>
        <v>0</v>
      </c>
    </row>
    <row r="6" spans="1:13" x14ac:dyDescent="0.2">
      <c r="A6" s="135" t="s">
        <v>96</v>
      </c>
      <c r="B6" s="131" t="s">
        <v>97</v>
      </c>
      <c r="C6" s="137">
        <v>44377</v>
      </c>
      <c r="D6" s="139">
        <f>52.55*13</f>
        <v>683.15</v>
      </c>
      <c r="E6" s="139"/>
      <c r="F6" s="157"/>
      <c r="G6" s="157"/>
      <c r="H6" s="157"/>
      <c r="I6" s="157"/>
      <c r="J6" s="140">
        <f>D6/12*6</f>
        <v>341.57499999999999</v>
      </c>
      <c r="K6" s="141">
        <f>E6/12*6</f>
        <v>0</v>
      </c>
      <c r="L6" s="140">
        <f t="shared" si="1"/>
        <v>683.15</v>
      </c>
      <c r="M6" s="141">
        <f t="shared" si="1"/>
        <v>0</v>
      </c>
    </row>
    <row r="7" spans="1:13" x14ac:dyDescent="0.2">
      <c r="A7" s="159"/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1:13" x14ac:dyDescent="0.2">
      <c r="A8" s="161"/>
      <c r="B8" s="161"/>
      <c r="C8" s="161"/>
      <c r="D8" s="161"/>
      <c r="E8" s="162" t="s">
        <v>80</v>
      </c>
      <c r="F8" s="140">
        <f t="shared" ref="F8:M8" si="2">SUM(F3:F6)</f>
        <v>130.91</v>
      </c>
      <c r="G8" s="141">
        <f t="shared" si="2"/>
        <v>0</v>
      </c>
      <c r="H8" s="140">
        <f t="shared" si="2"/>
        <v>392.73</v>
      </c>
      <c r="I8" s="141">
        <f t="shared" si="2"/>
        <v>177.55833333333337</v>
      </c>
      <c r="J8" s="140">
        <f t="shared" si="2"/>
        <v>734.30500000000006</v>
      </c>
      <c r="K8" s="141">
        <f t="shared" si="2"/>
        <v>193.70000000000002</v>
      </c>
      <c r="L8" s="140">
        <f t="shared" si="2"/>
        <v>1075.8800000000001</v>
      </c>
      <c r="M8" s="141">
        <f t="shared" si="2"/>
        <v>193.70000000000002</v>
      </c>
    </row>
    <row r="9" spans="1:13" x14ac:dyDescent="0.2">
      <c r="E9" s="162" t="s">
        <v>98</v>
      </c>
      <c r="F9" s="3">
        <f>F8+G8</f>
        <v>130.91</v>
      </c>
      <c r="G9" s="3"/>
      <c r="H9" s="3">
        <f>H8+I8</f>
        <v>570.28833333333341</v>
      </c>
      <c r="I9" s="3"/>
      <c r="J9" s="3">
        <f>J8+K8</f>
        <v>928.00500000000011</v>
      </c>
      <c r="K9" s="3"/>
      <c r="L9" s="3">
        <f>L8+M8</f>
        <v>1269.5800000000002</v>
      </c>
      <c r="M9" s="3"/>
    </row>
  </sheetData>
  <mergeCells count="9">
    <mergeCell ref="F9:G9"/>
    <mergeCell ref="H9:I9"/>
    <mergeCell ref="J9:K9"/>
    <mergeCell ref="L9:M9"/>
    <mergeCell ref="A1:M1"/>
    <mergeCell ref="F2:G2"/>
    <mergeCell ref="H2:I2"/>
    <mergeCell ref="J2:K2"/>
    <mergeCell ref="L2:M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zoomScaleNormal="100" workbookViewId="0">
      <selection activeCell="F19" sqref="F19"/>
    </sheetView>
  </sheetViews>
  <sheetFormatPr defaultColWidth="8.5703125" defaultRowHeight="12.75" x14ac:dyDescent="0.2"/>
  <cols>
    <col min="1" max="1" width="18.85546875" customWidth="1"/>
    <col min="2" max="2" width="11.7109375" customWidth="1"/>
    <col min="3" max="6" width="18.85546875" customWidth="1"/>
  </cols>
  <sheetData>
    <row r="1" spans="1:6" ht="51" x14ac:dyDescent="0.2">
      <c r="A1" s="168" t="s">
        <v>99</v>
      </c>
      <c r="B1" s="168" t="s">
        <v>100</v>
      </c>
      <c r="C1" s="169" t="s">
        <v>101</v>
      </c>
      <c r="D1" s="169" t="s">
        <v>102</v>
      </c>
      <c r="E1" s="170" t="s">
        <v>103</v>
      </c>
      <c r="F1" s="170" t="s">
        <v>104</v>
      </c>
    </row>
    <row r="2" spans="1:6" x14ac:dyDescent="0.2">
      <c r="A2" s="171" t="s">
        <v>105</v>
      </c>
      <c r="B2" s="172">
        <v>1</v>
      </c>
      <c r="C2" s="172">
        <v>4.95</v>
      </c>
      <c r="D2" s="173">
        <f>C2*B2*12</f>
        <v>59.400000000000006</v>
      </c>
      <c r="E2" s="172">
        <f>39+7.95</f>
        <v>46.95</v>
      </c>
      <c r="F2" s="174">
        <f>E2*B2*12</f>
        <v>563.40000000000009</v>
      </c>
    </row>
    <row r="3" spans="1:6" x14ac:dyDescent="0.2">
      <c r="A3" s="171" t="s">
        <v>106</v>
      </c>
      <c r="B3" s="172">
        <v>1</v>
      </c>
      <c r="C3" s="172">
        <v>4.34</v>
      </c>
      <c r="D3" s="173">
        <f>C3*B3*12</f>
        <v>52.08</v>
      </c>
      <c r="E3" s="172">
        <f>34.45+7.01</f>
        <v>41.46</v>
      </c>
      <c r="F3" s="174">
        <f>E3*B3*12</f>
        <v>497.52</v>
      </c>
    </row>
    <row r="4" spans="1:6" x14ac:dyDescent="0.2">
      <c r="A4" s="171" t="s">
        <v>107</v>
      </c>
      <c r="B4" s="172">
        <v>1</v>
      </c>
      <c r="C4" s="172">
        <v>3.73</v>
      </c>
      <c r="D4" s="173">
        <f>C4*B4*12</f>
        <v>44.76</v>
      </c>
      <c r="E4" s="172">
        <f>29.58+6</f>
        <v>35.58</v>
      </c>
      <c r="F4" s="174">
        <f>E4*B4*12</f>
        <v>426.96</v>
      </c>
    </row>
    <row r="5" spans="1:6" x14ac:dyDescent="0.2">
      <c r="A5" s="171" t="s">
        <v>108</v>
      </c>
      <c r="B5" s="172">
        <v>1</v>
      </c>
      <c r="C5" s="172">
        <v>3.09</v>
      </c>
      <c r="D5" s="173">
        <f>B5*C5*12</f>
        <v>37.08</v>
      </c>
      <c r="E5" s="175">
        <f>24.37+4.93</f>
        <v>29.3</v>
      </c>
      <c r="F5" s="174">
        <f>E5*B5*12</f>
        <v>351.6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46"/>
  <sheetViews>
    <sheetView topLeftCell="A10" zoomScaleNormal="100" workbookViewId="0">
      <selection activeCell="G48" sqref="G48"/>
    </sheetView>
  </sheetViews>
  <sheetFormatPr defaultColWidth="8.85546875" defaultRowHeight="12.75" x14ac:dyDescent="0.2"/>
  <cols>
    <col min="1" max="1" width="12.5703125" style="176" customWidth="1"/>
    <col min="2" max="4" width="18.28515625" style="176" customWidth="1"/>
    <col min="5" max="5" width="9.7109375" style="176" customWidth="1"/>
    <col min="6" max="6" width="11" style="176" customWidth="1"/>
    <col min="7" max="7" width="18.28515625" style="176" customWidth="1"/>
    <col min="8" max="8" width="9.7109375" style="176" customWidth="1"/>
    <col min="9" max="9" width="11" style="176" customWidth="1"/>
    <col min="10" max="10" width="18.28515625" style="176" customWidth="1"/>
    <col min="11" max="11" width="9.7109375" style="176" customWidth="1"/>
    <col min="12" max="12" width="11" style="176" customWidth="1"/>
    <col min="13" max="13" width="20.5703125" style="176" customWidth="1"/>
    <col min="14" max="1025" width="8.85546875" style="176"/>
  </cols>
  <sheetData>
    <row r="1" spans="1:21" ht="60" x14ac:dyDescent="0.2">
      <c r="A1" s="177" t="s">
        <v>109</v>
      </c>
      <c r="B1" s="178" t="s">
        <v>110</v>
      </c>
      <c r="C1" s="178" t="s">
        <v>111</v>
      </c>
      <c r="D1" s="179" t="s">
        <v>112</v>
      </c>
      <c r="E1" s="178" t="s">
        <v>113</v>
      </c>
      <c r="F1" s="180" t="s">
        <v>114</v>
      </c>
      <c r="G1" s="178" t="s">
        <v>115</v>
      </c>
      <c r="H1" s="178" t="s">
        <v>116</v>
      </c>
      <c r="I1" s="180" t="s">
        <v>117</v>
      </c>
      <c r="J1" s="178" t="s">
        <v>118</v>
      </c>
      <c r="K1" s="178" t="s">
        <v>119</v>
      </c>
      <c r="L1" s="180" t="s">
        <v>120</v>
      </c>
      <c r="M1" s="181" t="s">
        <v>121</v>
      </c>
    </row>
    <row r="2" spans="1:21" ht="15" x14ac:dyDescent="0.2">
      <c r="A2" s="182" t="s">
        <v>122</v>
      </c>
      <c r="B2" s="183">
        <v>31138.84</v>
      </c>
      <c r="C2" s="183">
        <f>B2-B3</f>
        <v>1500</v>
      </c>
      <c r="D2" s="184">
        <f>C2/12*13</f>
        <v>1625</v>
      </c>
      <c r="E2" s="185"/>
      <c r="F2" s="186"/>
      <c r="G2" s="183">
        <f>F2*D2</f>
        <v>0</v>
      </c>
      <c r="H2" s="187"/>
      <c r="I2" s="186"/>
      <c r="J2" s="183">
        <f>I2*D2</f>
        <v>0</v>
      </c>
      <c r="K2" s="185"/>
      <c r="L2" s="186"/>
      <c r="M2" s="188">
        <f>L2*D2</f>
        <v>0</v>
      </c>
    </row>
    <row r="3" spans="1:21" ht="15" x14ac:dyDescent="0.2">
      <c r="A3" s="189" t="s">
        <v>123</v>
      </c>
      <c r="B3" s="190">
        <v>29638.84</v>
      </c>
      <c r="C3" s="190">
        <f>B3-B4</f>
        <v>1915.1399999999994</v>
      </c>
      <c r="D3" s="191">
        <f>C3/12*13</f>
        <v>2074.7349999999992</v>
      </c>
      <c r="E3" s="192">
        <v>0</v>
      </c>
      <c r="F3" s="193"/>
      <c r="G3" s="194">
        <f>F3*D3</f>
        <v>0</v>
      </c>
      <c r="H3" s="195">
        <f>E3-F2</f>
        <v>0</v>
      </c>
      <c r="I3" s="196"/>
      <c r="J3" s="194">
        <f>I3*D3</f>
        <v>0</v>
      </c>
      <c r="K3" s="197">
        <f>E3-F2-I2+F3</f>
        <v>0</v>
      </c>
      <c r="L3" s="196"/>
      <c r="M3" s="198">
        <f>L3*D3</f>
        <v>0</v>
      </c>
    </row>
    <row r="4" spans="1:21" ht="15" x14ac:dyDescent="0.2">
      <c r="A4" s="189" t="s">
        <v>124</v>
      </c>
      <c r="B4" s="190">
        <v>27723.7</v>
      </c>
      <c r="C4" s="190">
        <f>B4-B5</f>
        <v>1184.8199999999997</v>
      </c>
      <c r="D4" s="191">
        <f>C4/12*13</f>
        <v>1283.5549999999996</v>
      </c>
      <c r="E4" s="192">
        <v>0</v>
      </c>
      <c r="F4" s="199"/>
      <c r="G4" s="194">
        <f>F4*D4</f>
        <v>0</v>
      </c>
      <c r="H4" s="195">
        <f>E4-F3</f>
        <v>0</v>
      </c>
      <c r="I4" s="196"/>
      <c r="J4" s="194">
        <f>I4*D4</f>
        <v>0</v>
      </c>
      <c r="K4" s="197">
        <f>E4-F3-I3+F4</f>
        <v>0</v>
      </c>
      <c r="L4" s="196"/>
      <c r="M4" s="198">
        <f>L4*D4</f>
        <v>0</v>
      </c>
    </row>
    <row r="5" spans="1:21" ht="15" x14ac:dyDescent="0.2">
      <c r="A5" s="189" t="s">
        <v>125</v>
      </c>
      <c r="B5" s="190">
        <v>26538.880000000001</v>
      </c>
      <c r="C5" s="190">
        <f>B5-B6</f>
        <v>1087.0200000000004</v>
      </c>
      <c r="D5" s="191">
        <f>C5/12*13</f>
        <v>1177.6050000000005</v>
      </c>
      <c r="E5" s="192">
        <v>6</v>
      </c>
      <c r="F5" s="196"/>
      <c r="G5" s="194">
        <f>F5*D5</f>
        <v>0</v>
      </c>
      <c r="H5" s="195">
        <f>E5-F4</f>
        <v>6</v>
      </c>
      <c r="I5" s="196"/>
      <c r="J5" s="194">
        <f>I5*D5</f>
        <v>0</v>
      </c>
      <c r="K5" s="197">
        <f>E5-F4-I4+F5</f>
        <v>6</v>
      </c>
      <c r="L5" s="196"/>
      <c r="M5" s="198">
        <f>L5*D5</f>
        <v>0</v>
      </c>
    </row>
    <row r="6" spans="1:21" ht="14.25" x14ac:dyDescent="0.2">
      <c r="A6" s="200" t="s">
        <v>126</v>
      </c>
      <c r="B6" s="201">
        <v>25451.86</v>
      </c>
      <c r="C6" s="202"/>
      <c r="D6" s="202"/>
      <c r="E6" s="203">
        <v>5</v>
      </c>
      <c r="F6" s="202"/>
      <c r="G6" s="202"/>
      <c r="H6" s="204">
        <f>E6-F5</f>
        <v>5</v>
      </c>
      <c r="I6" s="202"/>
      <c r="J6" s="202"/>
      <c r="K6" s="203">
        <f>E6-F5-I5</f>
        <v>5</v>
      </c>
      <c r="L6" s="202"/>
      <c r="M6" s="205"/>
    </row>
    <row r="7" spans="1:21" ht="15" x14ac:dyDescent="0.2">
      <c r="A7" s="182" t="s">
        <v>122</v>
      </c>
      <c r="B7" s="206">
        <v>31138.84</v>
      </c>
      <c r="C7" s="183">
        <f t="shared" ref="C7:C12" si="0">B7-B8</f>
        <v>1500</v>
      </c>
      <c r="D7" s="184">
        <f t="shared" ref="D7:D12" si="1">C7/12*13</f>
        <v>1625</v>
      </c>
      <c r="E7" s="185"/>
      <c r="F7" s="186"/>
      <c r="G7" s="183">
        <f t="shared" ref="G7:G12" si="2">F7*D7</f>
        <v>0</v>
      </c>
      <c r="H7" s="187"/>
      <c r="I7" s="186"/>
      <c r="J7" s="183">
        <f t="shared" ref="J7:J12" si="3">I7*D7</f>
        <v>0</v>
      </c>
      <c r="K7" s="185"/>
      <c r="L7" s="186"/>
      <c r="M7" s="188">
        <f t="shared" ref="M7:M12" si="4">L7*D7</f>
        <v>0</v>
      </c>
    </row>
    <row r="8" spans="1:21" ht="15" x14ac:dyDescent="0.2">
      <c r="A8" s="189" t="s">
        <v>123</v>
      </c>
      <c r="B8" s="207">
        <v>29638.84</v>
      </c>
      <c r="C8" s="190">
        <f t="shared" si="0"/>
        <v>1915.1399999999994</v>
      </c>
      <c r="D8" s="208">
        <f t="shared" si="1"/>
        <v>2074.7349999999992</v>
      </c>
      <c r="E8" s="197">
        <v>0</v>
      </c>
      <c r="F8" s="199"/>
      <c r="G8" s="190">
        <f t="shared" si="2"/>
        <v>0</v>
      </c>
      <c r="H8" s="195">
        <f t="shared" ref="H8:H13" si="5">E8-F7</f>
        <v>0</v>
      </c>
      <c r="I8" s="199"/>
      <c r="J8" s="190">
        <f t="shared" si="3"/>
        <v>0</v>
      </c>
      <c r="K8" s="197">
        <f>E8-F7-I7+F8</f>
        <v>0</v>
      </c>
      <c r="L8" s="199"/>
      <c r="M8" s="209">
        <f t="shared" si="4"/>
        <v>0</v>
      </c>
      <c r="O8" s="210"/>
      <c r="Q8" s="211"/>
    </row>
    <row r="9" spans="1:21" ht="15" x14ac:dyDescent="0.2">
      <c r="A9" s="189" t="s">
        <v>124</v>
      </c>
      <c r="B9" s="207">
        <v>27723.7</v>
      </c>
      <c r="C9" s="190">
        <f t="shared" si="0"/>
        <v>1184.8199999999997</v>
      </c>
      <c r="D9" s="208">
        <f t="shared" si="1"/>
        <v>1283.5549999999996</v>
      </c>
      <c r="E9" s="197">
        <v>0</v>
      </c>
      <c r="F9" s="199"/>
      <c r="G9" s="190">
        <f t="shared" si="2"/>
        <v>0</v>
      </c>
      <c r="H9" s="195">
        <f t="shared" si="5"/>
        <v>0</v>
      </c>
      <c r="I9" s="199"/>
      <c r="J9" s="190">
        <f t="shared" si="3"/>
        <v>0</v>
      </c>
      <c r="K9" s="197">
        <f>E9-F8-I8+F9</f>
        <v>0</v>
      </c>
      <c r="L9" s="199"/>
      <c r="M9" s="209">
        <f t="shared" si="4"/>
        <v>0</v>
      </c>
      <c r="O9" s="210"/>
      <c r="Q9" s="211"/>
    </row>
    <row r="10" spans="1:21" ht="15" x14ac:dyDescent="0.2">
      <c r="A10" s="189" t="s">
        <v>125</v>
      </c>
      <c r="B10" s="207">
        <v>26538.880000000001</v>
      </c>
      <c r="C10" s="190">
        <f t="shared" si="0"/>
        <v>1087.0200000000004</v>
      </c>
      <c r="D10" s="208">
        <f t="shared" si="1"/>
        <v>1177.6050000000005</v>
      </c>
      <c r="E10" s="197">
        <v>0</v>
      </c>
      <c r="F10" s="199"/>
      <c r="G10" s="190">
        <f t="shared" si="2"/>
        <v>0</v>
      </c>
      <c r="H10" s="195">
        <f t="shared" si="5"/>
        <v>0</v>
      </c>
      <c r="I10" s="199"/>
      <c r="J10" s="190">
        <f t="shared" si="3"/>
        <v>0</v>
      </c>
      <c r="K10" s="197">
        <f>E10-F9-I9+F10</f>
        <v>0</v>
      </c>
      <c r="L10" s="199"/>
      <c r="M10" s="209">
        <f t="shared" si="4"/>
        <v>0</v>
      </c>
      <c r="R10" s="210"/>
      <c r="S10" s="210"/>
      <c r="T10" s="210"/>
      <c r="U10" s="212"/>
    </row>
    <row r="11" spans="1:21" ht="15" x14ac:dyDescent="0.2">
      <c r="A11" s="189" t="s">
        <v>127</v>
      </c>
      <c r="B11" s="207">
        <v>25451.86</v>
      </c>
      <c r="C11" s="190">
        <f t="shared" si="0"/>
        <v>2231.8100000000013</v>
      </c>
      <c r="D11" s="208">
        <f t="shared" si="1"/>
        <v>2417.7941666666679</v>
      </c>
      <c r="E11" s="197">
        <v>3</v>
      </c>
      <c r="F11" s="199"/>
      <c r="G11" s="190">
        <f t="shared" si="2"/>
        <v>0</v>
      </c>
      <c r="H11" s="195">
        <f t="shared" si="5"/>
        <v>3</v>
      </c>
      <c r="I11" s="199"/>
      <c r="J11" s="190">
        <f t="shared" si="3"/>
        <v>0</v>
      </c>
      <c r="K11" s="197">
        <f>E11-F10-I10+F11</f>
        <v>3</v>
      </c>
      <c r="L11" s="199"/>
      <c r="M11" s="209">
        <f t="shared" si="4"/>
        <v>0</v>
      </c>
      <c r="P11" s="210"/>
      <c r="R11" s="210"/>
      <c r="S11" s="210"/>
      <c r="T11" s="210"/>
      <c r="U11" s="212"/>
    </row>
    <row r="12" spans="1:21" ht="15" x14ac:dyDescent="0.2">
      <c r="A12" s="189" t="s">
        <v>128</v>
      </c>
      <c r="B12" s="207">
        <v>23220.05</v>
      </c>
      <c r="C12" s="190">
        <f t="shared" si="0"/>
        <v>1084.5799999999981</v>
      </c>
      <c r="D12" s="208">
        <f t="shared" si="1"/>
        <v>1174.9616666666645</v>
      </c>
      <c r="E12" s="197">
        <v>8</v>
      </c>
      <c r="F12" s="199"/>
      <c r="G12" s="190">
        <f t="shared" si="2"/>
        <v>0</v>
      </c>
      <c r="H12" s="195">
        <f t="shared" si="5"/>
        <v>8</v>
      </c>
      <c r="I12" s="199"/>
      <c r="J12" s="190">
        <f t="shared" si="3"/>
        <v>0</v>
      </c>
      <c r="K12" s="197">
        <f>E12-F11-I11+F12</f>
        <v>8</v>
      </c>
      <c r="L12" s="199"/>
      <c r="M12" s="209">
        <f t="shared" si="4"/>
        <v>0</v>
      </c>
      <c r="P12" s="210"/>
      <c r="R12" s="210"/>
      <c r="S12" s="210"/>
      <c r="T12" s="210"/>
      <c r="U12" s="212"/>
    </row>
    <row r="13" spans="1:21" ht="15" x14ac:dyDescent="0.2">
      <c r="A13" s="200" t="s">
        <v>65</v>
      </c>
      <c r="B13" s="213">
        <v>22135.47</v>
      </c>
      <c r="C13" s="202"/>
      <c r="D13" s="214"/>
      <c r="E13" s="203">
        <v>15</v>
      </c>
      <c r="F13" s="202"/>
      <c r="G13" s="202"/>
      <c r="H13" s="204">
        <f t="shared" si="5"/>
        <v>15</v>
      </c>
      <c r="I13" s="202"/>
      <c r="J13" s="202"/>
      <c r="K13" s="203">
        <f>E13-F12-I12</f>
        <v>15</v>
      </c>
      <c r="L13" s="202"/>
      <c r="M13" s="205"/>
      <c r="R13" s="210"/>
      <c r="S13" s="210"/>
      <c r="T13" s="210"/>
      <c r="U13" s="212"/>
    </row>
    <row r="14" spans="1:21" ht="15" x14ac:dyDescent="0.2">
      <c r="A14" s="182" t="s">
        <v>129</v>
      </c>
      <c r="B14" s="206">
        <v>23543.200000000001</v>
      </c>
      <c r="C14" s="183">
        <f>B14-B15</f>
        <v>640</v>
      </c>
      <c r="D14" s="184">
        <f>C14/12*13</f>
        <v>693.33333333333337</v>
      </c>
      <c r="E14" s="185"/>
      <c r="F14" s="186"/>
      <c r="G14" s="183">
        <f>F14*D14</f>
        <v>0</v>
      </c>
      <c r="H14" s="187"/>
      <c r="I14" s="186"/>
      <c r="J14" s="183">
        <f>I14*D14</f>
        <v>0</v>
      </c>
      <c r="K14" s="185"/>
      <c r="L14" s="186"/>
      <c r="M14" s="188">
        <f>L14*D14</f>
        <v>0</v>
      </c>
      <c r="R14" s="210"/>
      <c r="S14" s="210"/>
      <c r="T14" s="210"/>
      <c r="U14" s="212"/>
    </row>
    <row r="15" spans="1:21" ht="15" x14ac:dyDescent="0.2">
      <c r="A15" s="189" t="s">
        <v>97</v>
      </c>
      <c r="B15" s="207">
        <v>22903.200000000001</v>
      </c>
      <c r="C15" s="190">
        <f>B15-B16</f>
        <v>817.09000000000015</v>
      </c>
      <c r="D15" s="208">
        <f>C15/12*13</f>
        <v>885.18083333333357</v>
      </c>
      <c r="E15" s="197">
        <v>0</v>
      </c>
      <c r="F15" s="199"/>
      <c r="G15" s="190">
        <f>F15*D15</f>
        <v>0</v>
      </c>
      <c r="H15" s="195">
        <f>E15-F14</f>
        <v>0</v>
      </c>
      <c r="I15" s="199"/>
      <c r="J15" s="190">
        <f>I15*D15</f>
        <v>0</v>
      </c>
      <c r="K15" s="197">
        <f>E15-F14-I14+F15</f>
        <v>0</v>
      </c>
      <c r="L15" s="199"/>
      <c r="M15" s="209">
        <f>L15*D15</f>
        <v>0</v>
      </c>
      <c r="R15" s="210"/>
      <c r="S15" s="210"/>
      <c r="T15" s="210"/>
      <c r="U15" s="212"/>
    </row>
    <row r="16" spans="1:21" ht="15" x14ac:dyDescent="0.2">
      <c r="A16" s="189" t="s">
        <v>130</v>
      </c>
      <c r="B16" s="207">
        <v>22086.11</v>
      </c>
      <c r="C16" s="190">
        <f>B16-B17</f>
        <v>676.29000000000087</v>
      </c>
      <c r="D16" s="208">
        <f>C16/12*13</f>
        <v>732.64750000000095</v>
      </c>
      <c r="E16" s="197">
        <v>1</v>
      </c>
      <c r="F16" s="199"/>
      <c r="G16" s="190">
        <f>F16*D16</f>
        <v>0</v>
      </c>
      <c r="H16" s="195">
        <f>E16-F15</f>
        <v>1</v>
      </c>
      <c r="I16" s="199"/>
      <c r="J16" s="190">
        <f>I16*D16</f>
        <v>0</v>
      </c>
      <c r="K16" s="197">
        <f>E16-F15-I15+F16</f>
        <v>1</v>
      </c>
      <c r="L16" s="199"/>
      <c r="M16" s="209">
        <f>L16*D16</f>
        <v>0</v>
      </c>
      <c r="T16" s="215"/>
    </row>
    <row r="17" spans="1:16" ht="15" x14ac:dyDescent="0.2">
      <c r="A17" s="189" t="s">
        <v>55</v>
      </c>
      <c r="B17" s="207">
        <v>21409.82</v>
      </c>
      <c r="C17" s="190">
        <f>B17-B18</f>
        <v>580.56000000000131</v>
      </c>
      <c r="D17" s="208">
        <f>C17/12*13</f>
        <v>628.94000000000142</v>
      </c>
      <c r="E17" s="197">
        <v>10</v>
      </c>
      <c r="F17" s="199"/>
      <c r="G17" s="190">
        <f>F17*D17</f>
        <v>0</v>
      </c>
      <c r="H17" s="195">
        <f>E17-F16</f>
        <v>10</v>
      </c>
      <c r="I17" s="199"/>
      <c r="J17" s="190">
        <f>I17*D17</f>
        <v>0</v>
      </c>
      <c r="K17" s="197">
        <f>E17-F16-I16+F17</f>
        <v>10</v>
      </c>
      <c r="L17" s="199"/>
      <c r="M17" s="209">
        <f>L17*D17</f>
        <v>0</v>
      </c>
    </row>
    <row r="18" spans="1:16" ht="15" x14ac:dyDescent="0.2">
      <c r="A18" s="189" t="s">
        <v>131</v>
      </c>
      <c r="B18" s="207">
        <v>20829.259999999998</v>
      </c>
      <c r="C18" s="190">
        <f>B18-B19</f>
        <v>485.18999999999869</v>
      </c>
      <c r="D18" s="208">
        <f>C18/12*13</f>
        <v>525.62249999999858</v>
      </c>
      <c r="E18" s="197">
        <v>27</v>
      </c>
      <c r="F18" s="199"/>
      <c r="G18" s="190">
        <f>F18*D18</f>
        <v>0</v>
      </c>
      <c r="H18" s="195">
        <f>E18-F17</f>
        <v>27</v>
      </c>
      <c r="I18" s="199"/>
      <c r="J18" s="190">
        <f>I18*D18</f>
        <v>0</v>
      </c>
      <c r="K18" s="197">
        <f>E18-F17-I17+F18</f>
        <v>27</v>
      </c>
      <c r="L18" s="199"/>
      <c r="M18" s="209">
        <f>L18*D18</f>
        <v>0</v>
      </c>
    </row>
    <row r="19" spans="1:16" ht="15" x14ac:dyDescent="0.2">
      <c r="A19" s="200" t="s">
        <v>132</v>
      </c>
      <c r="B19" s="213">
        <v>20344.07</v>
      </c>
      <c r="C19" s="202"/>
      <c r="D19" s="214"/>
      <c r="E19" s="203">
        <v>5</v>
      </c>
      <c r="F19" s="202"/>
      <c r="G19" s="202"/>
      <c r="H19" s="204">
        <f>E19-F18</f>
        <v>5</v>
      </c>
      <c r="I19" s="202"/>
      <c r="J19" s="202"/>
      <c r="K19" s="203">
        <f>E19-F18-I18</f>
        <v>5</v>
      </c>
      <c r="L19" s="202"/>
      <c r="M19" s="205"/>
    </row>
    <row r="20" spans="1:16" ht="15" x14ac:dyDescent="0.2">
      <c r="A20" s="182" t="s">
        <v>133</v>
      </c>
      <c r="B20" s="206">
        <v>21248.240000000002</v>
      </c>
      <c r="C20" s="183">
        <f>B20-B21</f>
        <v>460</v>
      </c>
      <c r="D20" s="184">
        <f>C20/12*13</f>
        <v>498.33333333333337</v>
      </c>
      <c r="E20" s="185"/>
      <c r="F20" s="216"/>
      <c r="G20" s="183">
        <f>F20*D20</f>
        <v>0</v>
      </c>
      <c r="H20" s="187"/>
      <c r="I20" s="216"/>
      <c r="J20" s="183">
        <f>I20*D20</f>
        <v>0</v>
      </c>
      <c r="K20" s="185"/>
      <c r="L20" s="216"/>
      <c r="M20" s="188">
        <f>L20*D20</f>
        <v>0</v>
      </c>
    </row>
    <row r="21" spans="1:16" ht="15" x14ac:dyDescent="0.2">
      <c r="A21" s="189" t="s">
        <v>134</v>
      </c>
      <c r="B21" s="207">
        <v>20788.240000000002</v>
      </c>
      <c r="C21" s="190">
        <f>B21-B22</f>
        <v>769.14000000000306</v>
      </c>
      <c r="D21" s="208">
        <f>C21/12*13</f>
        <v>833.23500000000331</v>
      </c>
      <c r="E21" s="197">
        <v>0</v>
      </c>
      <c r="F21" s="217"/>
      <c r="G21" s="190">
        <f>F21*D21</f>
        <v>0</v>
      </c>
      <c r="H21" s="195">
        <f>E21-F20</f>
        <v>0</v>
      </c>
      <c r="I21" s="217"/>
      <c r="J21" s="190">
        <f>I21*D21</f>
        <v>0</v>
      </c>
      <c r="K21" s="197">
        <f>E21-F20-I20+F21</f>
        <v>0</v>
      </c>
      <c r="L21" s="217"/>
      <c r="M21" s="209">
        <f>L21*D21</f>
        <v>0</v>
      </c>
    </row>
    <row r="22" spans="1:16" ht="15" x14ac:dyDescent="0.2">
      <c r="A22" s="189" t="s">
        <v>135</v>
      </c>
      <c r="B22" s="207">
        <v>20019.099999999999</v>
      </c>
      <c r="C22" s="190">
        <f>B22-B23</f>
        <v>349.18999999999869</v>
      </c>
      <c r="D22" s="208">
        <f>C22/12*13</f>
        <v>378.28916666666527</v>
      </c>
      <c r="E22" s="197">
        <v>3</v>
      </c>
      <c r="F22" s="217"/>
      <c r="G22" s="190">
        <f>F22*D22</f>
        <v>0</v>
      </c>
      <c r="H22" s="195">
        <f>E22-F21</f>
        <v>3</v>
      </c>
      <c r="I22" s="217"/>
      <c r="J22" s="190">
        <f>I22*D22</f>
        <v>0</v>
      </c>
      <c r="K22" s="197">
        <f>E22-F21-I21+F22</f>
        <v>3</v>
      </c>
      <c r="L22" s="217"/>
      <c r="M22" s="209">
        <f>L22*D22</f>
        <v>0</v>
      </c>
    </row>
    <row r="23" spans="1:16" ht="15" x14ac:dyDescent="0.2">
      <c r="A23" s="189" t="s">
        <v>136</v>
      </c>
      <c r="B23" s="207">
        <v>19669.91</v>
      </c>
      <c r="C23" s="190">
        <f>B23-B24</f>
        <v>326.57999999999811</v>
      </c>
      <c r="D23" s="208">
        <f>C23/12*13</f>
        <v>353.79499999999797</v>
      </c>
      <c r="E23" s="197">
        <v>10</v>
      </c>
      <c r="F23" s="217"/>
      <c r="G23" s="190">
        <f>F23*D23</f>
        <v>0</v>
      </c>
      <c r="H23" s="195">
        <f>E23-F22</f>
        <v>10</v>
      </c>
      <c r="I23" s="217"/>
      <c r="J23" s="190">
        <f>I23*D23</f>
        <v>0</v>
      </c>
      <c r="K23" s="197">
        <f>E23-F22-I22+F23</f>
        <v>10</v>
      </c>
      <c r="L23" s="217"/>
      <c r="M23" s="209">
        <f>L23*D23</f>
        <v>0</v>
      </c>
      <c r="P23" s="210"/>
    </row>
    <row r="24" spans="1:16" ht="15" x14ac:dyDescent="0.2">
      <c r="A24" s="189" t="s">
        <v>137</v>
      </c>
      <c r="B24" s="207">
        <v>19343.330000000002</v>
      </c>
      <c r="C24" s="190">
        <f>B24-B25</f>
        <v>279.53000000000247</v>
      </c>
      <c r="D24" s="208">
        <f>C24/12*13</f>
        <v>302.82416666666933</v>
      </c>
      <c r="E24" s="197">
        <v>0</v>
      </c>
      <c r="F24" s="217"/>
      <c r="G24" s="190">
        <f>F24*D24</f>
        <v>0</v>
      </c>
      <c r="H24" s="195">
        <f>E24-F23</f>
        <v>0</v>
      </c>
      <c r="I24" s="217"/>
      <c r="J24" s="190">
        <f>I24*D24</f>
        <v>0</v>
      </c>
      <c r="K24" s="197">
        <f>E24-F23-I23+F24</f>
        <v>0</v>
      </c>
      <c r="L24" s="217"/>
      <c r="M24" s="209">
        <f>L24*D24</f>
        <v>0</v>
      </c>
      <c r="P24" s="210"/>
    </row>
    <row r="25" spans="1:16" ht="15" x14ac:dyDescent="0.2">
      <c r="A25" s="200" t="s">
        <v>138</v>
      </c>
      <c r="B25" s="213">
        <v>19063.8</v>
      </c>
      <c r="C25" s="202"/>
      <c r="D25" s="214"/>
      <c r="E25" s="203">
        <v>3</v>
      </c>
      <c r="F25" s="202"/>
      <c r="G25" s="202"/>
      <c r="H25" s="204">
        <f>E25-F24</f>
        <v>3</v>
      </c>
      <c r="I25" s="202"/>
      <c r="J25" s="202"/>
      <c r="K25" s="203">
        <f>E25-F24-I24</f>
        <v>3</v>
      </c>
      <c r="L25" s="202"/>
      <c r="M25" s="205"/>
      <c r="P25" s="210"/>
    </row>
    <row r="26" spans="1:16" ht="15" x14ac:dyDescent="0.2">
      <c r="A26" s="182" t="s">
        <v>133</v>
      </c>
      <c r="B26" s="206">
        <v>21248.240000000002</v>
      </c>
      <c r="C26" s="183">
        <f t="shared" ref="C26:C32" si="6">B26-B27</f>
        <v>460</v>
      </c>
      <c r="D26" s="184">
        <f t="shared" ref="D26:D32" si="7">C26/12*13</f>
        <v>498.33333333333337</v>
      </c>
      <c r="E26" s="185"/>
      <c r="F26" s="216"/>
      <c r="G26" s="183">
        <f t="shared" ref="G26:G32" si="8">F26*D26</f>
        <v>0</v>
      </c>
      <c r="H26" s="187"/>
      <c r="I26" s="216"/>
      <c r="J26" s="183">
        <f t="shared" ref="J26:J32" si="9">I26*D26</f>
        <v>0</v>
      </c>
      <c r="K26" s="185"/>
      <c r="L26" s="216"/>
      <c r="M26" s="188">
        <f t="shared" ref="M26:M32" si="10">L26*D26</f>
        <v>0</v>
      </c>
    </row>
    <row r="27" spans="1:16" ht="15" x14ac:dyDescent="0.2">
      <c r="A27" s="189" t="s">
        <v>134</v>
      </c>
      <c r="B27" s="207">
        <v>20788.240000000002</v>
      </c>
      <c r="C27" s="190">
        <f t="shared" si="6"/>
        <v>769.14000000000306</v>
      </c>
      <c r="D27" s="208">
        <f t="shared" si="7"/>
        <v>833.23500000000331</v>
      </c>
      <c r="E27" s="197">
        <v>0</v>
      </c>
      <c r="F27" s="199"/>
      <c r="G27" s="190">
        <f t="shared" si="8"/>
        <v>0</v>
      </c>
      <c r="H27" s="195">
        <f t="shared" ref="H27:H33" si="11">E27-F26</f>
        <v>0</v>
      </c>
      <c r="I27" s="199"/>
      <c r="J27" s="190">
        <f t="shared" si="9"/>
        <v>0</v>
      </c>
      <c r="K27" s="197">
        <f t="shared" ref="K27:K32" si="12">E27-F26-I26+F27</f>
        <v>0</v>
      </c>
      <c r="L27" s="199"/>
      <c r="M27" s="209">
        <f t="shared" si="10"/>
        <v>0</v>
      </c>
    </row>
    <row r="28" spans="1:16" ht="15" x14ac:dyDescent="0.2">
      <c r="A28" s="189" t="s">
        <v>135</v>
      </c>
      <c r="B28" s="207">
        <v>20019.099999999999</v>
      </c>
      <c r="C28" s="190">
        <f t="shared" si="6"/>
        <v>349.18999999999869</v>
      </c>
      <c r="D28" s="208">
        <f t="shared" si="7"/>
        <v>378.28916666666527</v>
      </c>
      <c r="E28" s="197">
        <v>0</v>
      </c>
      <c r="F28" s="199"/>
      <c r="G28" s="190">
        <f t="shared" si="8"/>
        <v>0</v>
      </c>
      <c r="H28" s="195">
        <f t="shared" si="11"/>
        <v>0</v>
      </c>
      <c r="I28" s="199"/>
      <c r="J28" s="190">
        <f t="shared" si="9"/>
        <v>0</v>
      </c>
      <c r="K28" s="197">
        <f t="shared" si="12"/>
        <v>0</v>
      </c>
      <c r="L28" s="199"/>
      <c r="M28" s="209">
        <f t="shared" si="10"/>
        <v>0</v>
      </c>
    </row>
    <row r="29" spans="1:16" ht="15" x14ac:dyDescent="0.2">
      <c r="A29" s="189" t="s">
        <v>136</v>
      </c>
      <c r="B29" s="207">
        <v>19669.91</v>
      </c>
      <c r="C29" s="190">
        <f t="shared" si="6"/>
        <v>326.57999999999811</v>
      </c>
      <c r="D29" s="208">
        <f t="shared" si="7"/>
        <v>353.79499999999797</v>
      </c>
      <c r="E29" s="197">
        <v>0</v>
      </c>
      <c r="F29" s="199"/>
      <c r="G29" s="190">
        <f t="shared" si="8"/>
        <v>0</v>
      </c>
      <c r="H29" s="195">
        <f t="shared" si="11"/>
        <v>0</v>
      </c>
      <c r="I29" s="199"/>
      <c r="J29" s="190">
        <f t="shared" si="9"/>
        <v>0</v>
      </c>
      <c r="K29" s="197">
        <f t="shared" si="12"/>
        <v>0</v>
      </c>
      <c r="L29" s="199"/>
      <c r="M29" s="209">
        <f t="shared" si="10"/>
        <v>0</v>
      </c>
    </row>
    <row r="30" spans="1:16" ht="15" x14ac:dyDescent="0.2">
      <c r="A30" s="189" t="s">
        <v>137</v>
      </c>
      <c r="B30" s="207">
        <v>19343.330000000002</v>
      </c>
      <c r="C30" s="190">
        <f t="shared" si="6"/>
        <v>279.53000000000247</v>
      </c>
      <c r="D30" s="208">
        <f t="shared" si="7"/>
        <v>302.82416666666933</v>
      </c>
      <c r="E30" s="197">
        <v>10</v>
      </c>
      <c r="F30" s="199"/>
      <c r="G30" s="190">
        <f t="shared" si="8"/>
        <v>0</v>
      </c>
      <c r="H30" s="195">
        <f t="shared" si="11"/>
        <v>10</v>
      </c>
      <c r="I30" s="199"/>
      <c r="J30" s="190">
        <f t="shared" si="9"/>
        <v>0</v>
      </c>
      <c r="K30" s="197">
        <f t="shared" si="12"/>
        <v>10</v>
      </c>
      <c r="L30" s="199"/>
      <c r="M30" s="209">
        <f t="shared" si="10"/>
        <v>0</v>
      </c>
    </row>
    <row r="31" spans="1:16" ht="15" x14ac:dyDescent="0.2">
      <c r="A31" s="189" t="s">
        <v>139</v>
      </c>
      <c r="B31" s="207">
        <v>19063.8</v>
      </c>
      <c r="C31" s="190">
        <f t="shared" si="6"/>
        <v>729.86999999999898</v>
      </c>
      <c r="D31" s="208">
        <f t="shared" si="7"/>
        <v>790.69249999999886</v>
      </c>
      <c r="E31" s="197">
        <v>12</v>
      </c>
      <c r="F31" s="199">
        <v>20</v>
      </c>
      <c r="G31" s="190">
        <f t="shared" si="8"/>
        <v>15813.849999999977</v>
      </c>
      <c r="H31" s="195">
        <f t="shared" si="11"/>
        <v>12</v>
      </c>
      <c r="I31" s="199"/>
      <c r="J31" s="190">
        <f t="shared" si="9"/>
        <v>0</v>
      </c>
      <c r="K31" s="197">
        <f t="shared" si="12"/>
        <v>32</v>
      </c>
      <c r="L31" s="199"/>
      <c r="M31" s="209">
        <f t="shared" si="10"/>
        <v>0</v>
      </c>
    </row>
    <row r="32" spans="1:16" ht="15" x14ac:dyDescent="0.2">
      <c r="A32" s="189" t="s">
        <v>61</v>
      </c>
      <c r="B32" s="207">
        <v>18333.93</v>
      </c>
      <c r="C32" s="190">
        <f t="shared" si="6"/>
        <v>299.86000000000058</v>
      </c>
      <c r="D32" s="208">
        <f t="shared" si="7"/>
        <v>324.84833333333398</v>
      </c>
      <c r="E32" s="197">
        <v>27</v>
      </c>
      <c r="F32" s="199"/>
      <c r="G32" s="190">
        <f t="shared" si="8"/>
        <v>0</v>
      </c>
      <c r="H32" s="195">
        <f t="shared" si="11"/>
        <v>7</v>
      </c>
      <c r="I32" s="199"/>
      <c r="J32" s="190">
        <f t="shared" si="9"/>
        <v>0</v>
      </c>
      <c r="K32" s="197">
        <f t="shared" si="12"/>
        <v>7</v>
      </c>
      <c r="L32" s="199"/>
      <c r="M32" s="209">
        <f t="shared" si="10"/>
        <v>0</v>
      </c>
    </row>
    <row r="33" spans="1:13" ht="15" x14ac:dyDescent="0.2">
      <c r="A33" s="200" t="s">
        <v>86</v>
      </c>
      <c r="B33" s="213">
        <v>18034.07</v>
      </c>
      <c r="C33" s="202"/>
      <c r="D33" s="214"/>
      <c r="E33" s="203">
        <v>12</v>
      </c>
      <c r="F33" s="202"/>
      <c r="G33" s="202"/>
      <c r="H33" s="204">
        <f t="shared" si="11"/>
        <v>12</v>
      </c>
      <c r="I33" s="202"/>
      <c r="J33" s="202"/>
      <c r="K33" s="203">
        <f>E33-F32-I32</f>
        <v>12</v>
      </c>
      <c r="L33" s="202"/>
      <c r="M33" s="205"/>
    </row>
    <row r="34" spans="1:13" ht="15" x14ac:dyDescent="0.2">
      <c r="A34" s="182" t="s">
        <v>140</v>
      </c>
      <c r="B34" s="206">
        <v>18661.97</v>
      </c>
      <c r="C34" s="183">
        <f>B34-B35</f>
        <v>320</v>
      </c>
      <c r="D34" s="184">
        <f>C34/12*13</f>
        <v>346.66666666666669</v>
      </c>
      <c r="E34" s="185"/>
      <c r="F34" s="216"/>
      <c r="G34" s="183">
        <f>F34*D34</f>
        <v>0</v>
      </c>
      <c r="H34" s="187"/>
      <c r="I34" s="216"/>
      <c r="J34" s="183">
        <f>I34*D34</f>
        <v>0</v>
      </c>
      <c r="K34" s="185"/>
      <c r="L34" s="216"/>
      <c r="M34" s="188">
        <f>L34*D34</f>
        <v>0</v>
      </c>
    </row>
    <row r="35" spans="1:13" ht="15" x14ac:dyDescent="0.2">
      <c r="A35" s="189" t="s">
        <v>141</v>
      </c>
      <c r="B35" s="207">
        <v>18341.97</v>
      </c>
      <c r="C35" s="190">
        <f>B35-B36</f>
        <v>371.43000000000029</v>
      </c>
      <c r="D35" s="208">
        <f>C35/12*13</f>
        <v>402.38250000000033</v>
      </c>
      <c r="E35" s="197">
        <v>0</v>
      </c>
      <c r="F35" s="199"/>
      <c r="G35" s="190">
        <f>F35*D35</f>
        <v>0</v>
      </c>
      <c r="H35" s="195">
        <f>E35-F34</f>
        <v>0</v>
      </c>
      <c r="I35" s="199"/>
      <c r="J35" s="190">
        <f>I35*D35</f>
        <v>0</v>
      </c>
      <c r="K35" s="197">
        <f>E35-F34-I34+F35</f>
        <v>0</v>
      </c>
      <c r="L35" s="199"/>
      <c r="M35" s="209">
        <f>L35*D35</f>
        <v>0</v>
      </c>
    </row>
    <row r="36" spans="1:13" ht="15" x14ac:dyDescent="0.2">
      <c r="A36" s="189" t="s">
        <v>142</v>
      </c>
      <c r="B36" s="207">
        <v>17970.54</v>
      </c>
      <c r="C36" s="190">
        <f>B36-B37</f>
        <v>313.97999999999956</v>
      </c>
      <c r="D36" s="208">
        <f>C36/12*13</f>
        <v>340.14499999999953</v>
      </c>
      <c r="E36" s="197">
        <v>0</v>
      </c>
      <c r="F36" s="199">
        <v>1</v>
      </c>
      <c r="G36" s="190">
        <f>F36*D36</f>
        <v>340.14499999999953</v>
      </c>
      <c r="H36" s="195">
        <f>E36-F35</f>
        <v>0</v>
      </c>
      <c r="I36" s="199"/>
      <c r="J36" s="190">
        <f>I36*D36</f>
        <v>0</v>
      </c>
      <c r="K36" s="197">
        <f>E36-F35-I35+F36</f>
        <v>1</v>
      </c>
      <c r="L36" s="199"/>
      <c r="M36" s="209">
        <f>L36*D36</f>
        <v>0</v>
      </c>
    </row>
    <row r="37" spans="1:13" ht="15" x14ac:dyDescent="0.2">
      <c r="A37" s="189" t="s">
        <v>143</v>
      </c>
      <c r="B37" s="207">
        <v>17656.560000000001</v>
      </c>
      <c r="C37" s="190">
        <f>B37-B38</f>
        <v>366.25</v>
      </c>
      <c r="D37" s="208">
        <f>C37/12*13</f>
        <v>396.77083333333331</v>
      </c>
      <c r="E37" s="197">
        <v>2</v>
      </c>
      <c r="F37" s="199"/>
      <c r="G37" s="190">
        <f>F37*D37</f>
        <v>0</v>
      </c>
      <c r="H37" s="195">
        <f>E37-F36</f>
        <v>1</v>
      </c>
      <c r="I37" s="199"/>
      <c r="J37" s="190">
        <f>I37*D37</f>
        <v>0</v>
      </c>
      <c r="K37" s="197">
        <f>E37-F36-I36+F37</f>
        <v>1</v>
      </c>
      <c r="L37" s="199"/>
      <c r="M37" s="209">
        <f>L37*D37</f>
        <v>0</v>
      </c>
    </row>
    <row r="38" spans="1:13" ht="15" x14ac:dyDescent="0.2">
      <c r="A38" s="189" t="s">
        <v>144</v>
      </c>
      <c r="B38" s="207">
        <v>17290.310000000001</v>
      </c>
      <c r="C38" s="190">
        <f>B38-B39</f>
        <v>229.34000000000015</v>
      </c>
      <c r="D38" s="208">
        <f>C38/12*13</f>
        <v>248.45166666666682</v>
      </c>
      <c r="E38" s="197">
        <v>0</v>
      </c>
      <c r="F38" s="199"/>
      <c r="G38" s="190">
        <f>F38*D38</f>
        <v>0</v>
      </c>
      <c r="H38" s="195">
        <f>E38-F37</f>
        <v>0</v>
      </c>
      <c r="I38" s="199"/>
      <c r="J38" s="190">
        <f>I38*D38</f>
        <v>0</v>
      </c>
      <c r="K38" s="197">
        <f>E38-F37-I37+F38</f>
        <v>0</v>
      </c>
      <c r="L38" s="199"/>
      <c r="M38" s="209">
        <f>L38*D38</f>
        <v>0</v>
      </c>
    </row>
    <row r="39" spans="1:13" ht="15" x14ac:dyDescent="0.2">
      <c r="A39" s="200" t="s">
        <v>145</v>
      </c>
      <c r="B39" s="213">
        <v>17060.97</v>
      </c>
      <c r="C39" s="202"/>
      <c r="D39" s="214"/>
      <c r="E39" s="203">
        <v>0</v>
      </c>
      <c r="F39" s="202"/>
      <c r="G39" s="202"/>
      <c r="H39" s="204"/>
      <c r="I39" s="202"/>
      <c r="J39" s="202"/>
      <c r="K39" s="203">
        <f>E39-F38-I38</f>
        <v>0</v>
      </c>
      <c r="L39" s="202"/>
      <c r="M39" s="205"/>
    </row>
    <row r="40" spans="1:13" ht="15" x14ac:dyDescent="0.2">
      <c r="A40" s="218"/>
      <c r="B40" s="218"/>
      <c r="C40" s="218"/>
      <c r="D40" s="219" t="s">
        <v>146</v>
      </c>
      <c r="E40" s="220">
        <f>SUM(E2:E39)</f>
        <v>159</v>
      </c>
      <c r="F40" s="221"/>
      <c r="G40" s="221"/>
      <c r="H40" s="221"/>
      <c r="I40" s="221"/>
      <c r="J40" s="221"/>
      <c r="K40" s="221"/>
      <c r="L40" s="221"/>
      <c r="M40" s="222"/>
    </row>
    <row r="41" spans="1:13" ht="14.25" x14ac:dyDescent="0.2">
      <c r="A41" s="218"/>
      <c r="B41" s="218"/>
      <c r="C41" s="218"/>
      <c r="D41" s="218"/>
      <c r="E41" s="223"/>
      <c r="F41" s="221"/>
      <c r="G41" s="221"/>
      <c r="H41" s="221"/>
      <c r="I41" s="221"/>
      <c r="J41" s="221"/>
      <c r="K41" s="221"/>
      <c r="L41" s="221"/>
      <c r="M41" s="222"/>
    </row>
    <row r="42" spans="1:13" ht="15" x14ac:dyDescent="0.25">
      <c r="A42" s="218"/>
      <c r="B42" s="218"/>
      <c r="C42" s="218"/>
      <c r="D42" s="2" t="s">
        <v>147</v>
      </c>
      <c r="E42" s="2"/>
      <c r="F42" s="224">
        <f>SUM(F2:F39)</f>
        <v>21</v>
      </c>
      <c r="G42" s="225">
        <f>SUM(G2:G39)</f>
        <v>16153.994999999977</v>
      </c>
      <c r="H42" s="226"/>
      <c r="I42" s="227">
        <f>SUM(I2:I39)</f>
        <v>0</v>
      </c>
      <c r="J42" s="225">
        <f>SUM(J2:J39)</f>
        <v>0</v>
      </c>
      <c r="K42" s="226"/>
      <c r="L42" s="227">
        <f>SUM(L2:L39)</f>
        <v>0</v>
      </c>
      <c r="M42" s="225">
        <f>SUM(M2:M39)</f>
        <v>0</v>
      </c>
    </row>
    <row r="43" spans="1:13" ht="14.25" x14ac:dyDescent="0.2">
      <c r="A43" s="218"/>
      <c r="B43" s="218"/>
      <c r="C43" s="218"/>
      <c r="D43" s="218"/>
      <c r="E43" s="218"/>
      <c r="F43" s="228">
        <f>+F42/$E$40</f>
        <v>0.13207547169811321</v>
      </c>
      <c r="G43" s="229"/>
      <c r="H43" s="229"/>
      <c r="I43" s="228">
        <f>+I42/$E$40</f>
        <v>0</v>
      </c>
      <c r="J43" s="221"/>
      <c r="K43" s="221"/>
      <c r="L43" s="228">
        <f>+L42/$E$40</f>
        <v>0</v>
      </c>
      <c r="M43" s="222"/>
    </row>
    <row r="44" spans="1:13" ht="15" x14ac:dyDescent="0.25">
      <c r="A44" s="218"/>
      <c r="B44" s="218"/>
      <c r="C44" s="218"/>
      <c r="D44" s="218"/>
      <c r="E44" s="218"/>
      <c r="F44" s="229"/>
      <c r="G44" s="2" t="s">
        <v>148</v>
      </c>
      <c r="H44" s="2"/>
      <c r="I44" s="230">
        <f>F42+I42</f>
        <v>21</v>
      </c>
      <c r="J44" s="231">
        <f>G42+J42</f>
        <v>16153.994999999977</v>
      </c>
      <c r="K44" s="226"/>
      <c r="L44" s="218"/>
      <c r="M44" s="218"/>
    </row>
    <row r="45" spans="1:13" ht="14.25" x14ac:dyDescent="0.2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32"/>
    </row>
    <row r="46" spans="1:13" ht="15" x14ac:dyDescent="0.25">
      <c r="A46" s="218"/>
      <c r="B46" s="218"/>
      <c r="C46" s="218"/>
      <c r="D46" s="218"/>
      <c r="E46" s="218"/>
      <c r="F46" s="218"/>
      <c r="G46" s="218"/>
      <c r="J46" s="2" t="s">
        <v>149</v>
      </c>
      <c r="K46" s="2"/>
      <c r="L46" s="230">
        <f>L42+I44</f>
        <v>21</v>
      </c>
      <c r="M46" s="231">
        <f>J44+M42</f>
        <v>16153.994999999977</v>
      </c>
    </row>
  </sheetData>
  <mergeCells count="3">
    <mergeCell ref="D42:E42"/>
    <mergeCell ref="G44:H44"/>
    <mergeCell ref="J46:K46"/>
  </mergeCells>
  <printOptions horizontalCentered="1" verticalCentered="1"/>
  <pageMargins left="0.118055555555556" right="0.118055555555556" top="0.15763888888888899" bottom="0.15763888888888899" header="0.51180555555555496" footer="0.51180555555555496"/>
  <pageSetup paperSize="8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zoomScaleNormal="100" workbookViewId="0">
      <selection activeCell="D12" sqref="D12"/>
    </sheetView>
  </sheetViews>
  <sheetFormatPr defaultColWidth="8.5703125" defaultRowHeight="12.75" x14ac:dyDescent="0.2"/>
  <cols>
    <col min="1" max="1" width="10" customWidth="1"/>
    <col min="2" max="4" width="20.42578125" customWidth="1"/>
    <col min="6" max="6" width="20.42578125" customWidth="1"/>
    <col min="7" max="7" width="17.28515625" customWidth="1"/>
  </cols>
  <sheetData>
    <row r="1" spans="1:9" ht="51" x14ac:dyDescent="0.2">
      <c r="A1" s="233" t="s">
        <v>109</v>
      </c>
      <c r="B1" s="234" t="s">
        <v>110</v>
      </c>
      <c r="C1" s="234" t="s">
        <v>111</v>
      </c>
      <c r="D1" s="234" t="s">
        <v>112</v>
      </c>
      <c r="E1" s="234" t="s">
        <v>150</v>
      </c>
      <c r="F1" s="234" t="s">
        <v>151</v>
      </c>
      <c r="G1" s="235" t="s">
        <v>152</v>
      </c>
    </row>
    <row r="2" spans="1:9" x14ac:dyDescent="0.2">
      <c r="A2" s="236" t="s">
        <v>122</v>
      </c>
      <c r="B2" s="237">
        <v>31138.84</v>
      </c>
      <c r="C2" s="238">
        <f t="shared" ref="C2:C7" si="0">B2-B3</f>
        <v>1500</v>
      </c>
      <c r="D2" s="238">
        <f t="shared" ref="D2:D7" si="1">C2/12*13</f>
        <v>1625</v>
      </c>
      <c r="E2" s="239">
        <v>1</v>
      </c>
      <c r="F2" s="238">
        <f t="shared" ref="F2:F7" si="2">D2*E2</f>
        <v>1625</v>
      </c>
      <c r="G2" s="240">
        <f t="shared" ref="G2:G7" si="3">$F$6/F2</f>
        <v>1.487873333333334</v>
      </c>
    </row>
    <row r="3" spans="1:9" x14ac:dyDescent="0.2">
      <c r="A3" s="241" t="s">
        <v>123</v>
      </c>
      <c r="B3" s="242">
        <v>29638.84</v>
      </c>
      <c r="C3" s="243">
        <f t="shared" si="0"/>
        <v>1915.1399999999994</v>
      </c>
      <c r="D3" s="243">
        <f t="shared" si="1"/>
        <v>2074.7349999999992</v>
      </c>
      <c r="E3" s="244">
        <v>1</v>
      </c>
      <c r="F3" s="243">
        <f t="shared" si="2"/>
        <v>2074.7349999999992</v>
      </c>
      <c r="G3" s="245">
        <f t="shared" si="3"/>
        <v>1.1653508359702174</v>
      </c>
      <c r="I3" s="246"/>
    </row>
    <row r="4" spans="1:9" x14ac:dyDescent="0.2">
      <c r="A4" s="241" t="s">
        <v>124</v>
      </c>
      <c r="B4" s="242">
        <v>27723.7</v>
      </c>
      <c r="C4" s="243">
        <f t="shared" si="0"/>
        <v>1184.8199999999997</v>
      </c>
      <c r="D4" s="243">
        <f t="shared" si="1"/>
        <v>1283.5549999999996</v>
      </c>
      <c r="E4" s="244">
        <v>1</v>
      </c>
      <c r="F4" s="243">
        <f t="shared" si="2"/>
        <v>1283.5549999999996</v>
      </c>
      <c r="G4" s="245">
        <f t="shared" si="3"/>
        <v>1.8836700933475143</v>
      </c>
      <c r="I4" s="246"/>
    </row>
    <row r="5" spans="1:9" x14ac:dyDescent="0.2">
      <c r="A5" s="241" t="s">
        <v>125</v>
      </c>
      <c r="B5" s="242">
        <v>26538.880000000001</v>
      </c>
      <c r="C5" s="243">
        <f t="shared" si="0"/>
        <v>1087.0200000000004</v>
      </c>
      <c r="D5" s="243">
        <f t="shared" si="1"/>
        <v>1177.6050000000005</v>
      </c>
      <c r="E5" s="244">
        <v>1</v>
      </c>
      <c r="F5" s="243">
        <f t="shared" si="2"/>
        <v>1177.6050000000005</v>
      </c>
      <c r="G5" s="245">
        <f t="shared" si="3"/>
        <v>2.0531452963146957</v>
      </c>
    </row>
    <row r="6" spans="1:9" x14ac:dyDescent="0.2">
      <c r="A6" s="241" t="s">
        <v>127</v>
      </c>
      <c r="B6" s="242">
        <v>25451.86</v>
      </c>
      <c r="C6" s="243">
        <f t="shared" si="0"/>
        <v>2231.8100000000013</v>
      </c>
      <c r="D6" s="243">
        <f t="shared" si="1"/>
        <v>2417.7941666666679</v>
      </c>
      <c r="E6" s="244">
        <v>1</v>
      </c>
      <c r="F6" s="247">
        <f t="shared" si="2"/>
        <v>2417.7941666666679</v>
      </c>
      <c r="G6" s="248">
        <f t="shared" si="3"/>
        <v>1</v>
      </c>
    </row>
    <row r="7" spans="1:9" x14ac:dyDescent="0.2">
      <c r="A7" s="241" t="s">
        <v>128</v>
      </c>
      <c r="B7" s="242">
        <v>23220.05</v>
      </c>
      <c r="C7" s="243">
        <f t="shared" si="0"/>
        <v>1084.5799999999981</v>
      </c>
      <c r="D7" s="243">
        <f t="shared" si="1"/>
        <v>1174.9616666666645</v>
      </c>
      <c r="E7" s="244">
        <v>1</v>
      </c>
      <c r="F7" s="243">
        <f t="shared" si="2"/>
        <v>1174.9616666666645</v>
      </c>
      <c r="G7" s="245">
        <f t="shared" si="3"/>
        <v>2.0577642958564653</v>
      </c>
    </row>
    <row r="8" spans="1:9" x14ac:dyDescent="0.2">
      <c r="A8" s="249" t="s">
        <v>65</v>
      </c>
      <c r="B8" s="250">
        <v>22135.47</v>
      </c>
      <c r="C8" s="251"/>
      <c r="D8" s="251"/>
      <c r="E8" s="251"/>
      <c r="F8" s="251"/>
      <c r="G8" s="252"/>
    </row>
    <row r="9" spans="1:9" x14ac:dyDescent="0.2">
      <c r="A9" s="236" t="s">
        <v>129</v>
      </c>
      <c r="B9" s="237">
        <v>23543.200000000001</v>
      </c>
      <c r="C9" s="238">
        <f>B9-B10</f>
        <v>640</v>
      </c>
      <c r="D9" s="238">
        <f>C9/12*13</f>
        <v>693.33333333333337</v>
      </c>
      <c r="E9" s="239">
        <v>1</v>
      </c>
      <c r="F9" s="238">
        <f>D9*E9</f>
        <v>693.33333333333337</v>
      </c>
      <c r="G9" s="240">
        <f>$F$6/F9</f>
        <v>3.4872031250000015</v>
      </c>
    </row>
    <row r="10" spans="1:9" x14ac:dyDescent="0.2">
      <c r="A10" s="241" t="s">
        <v>97</v>
      </c>
      <c r="B10" s="242">
        <v>22903.200000000001</v>
      </c>
      <c r="C10" s="243">
        <f>B10-B11</f>
        <v>817.09000000000015</v>
      </c>
      <c r="D10" s="243">
        <f>C10/12*13</f>
        <v>885.18083333333357</v>
      </c>
      <c r="E10" s="244">
        <v>1</v>
      </c>
      <c r="F10" s="243">
        <f>D10*E10</f>
        <v>885.18083333333357</v>
      </c>
      <c r="G10" s="245">
        <f>$F$6/F10</f>
        <v>2.7314126962758087</v>
      </c>
    </row>
    <row r="11" spans="1:9" x14ac:dyDescent="0.2">
      <c r="A11" s="241" t="s">
        <v>130</v>
      </c>
      <c r="B11" s="242">
        <v>22086.11</v>
      </c>
      <c r="C11" s="243">
        <f>B11-B12</f>
        <v>676.29000000000087</v>
      </c>
      <c r="D11" s="243">
        <f>C11/12*13</f>
        <v>732.64750000000095</v>
      </c>
      <c r="E11" s="244">
        <v>1</v>
      </c>
      <c r="F11" s="243">
        <f>D11*E11</f>
        <v>732.64750000000095</v>
      </c>
      <c r="G11" s="245">
        <f>$F$6/F11</f>
        <v>3.3000783687471325</v>
      </c>
    </row>
    <row r="12" spans="1:9" x14ac:dyDescent="0.2">
      <c r="A12" s="241" t="s">
        <v>55</v>
      </c>
      <c r="B12" s="242">
        <v>21409.82</v>
      </c>
      <c r="C12" s="243">
        <f>B12-B13</f>
        <v>580.56000000000131</v>
      </c>
      <c r="D12" s="243">
        <f>C12/12*13</f>
        <v>628.94000000000142</v>
      </c>
      <c r="E12" s="244">
        <v>1</v>
      </c>
      <c r="F12" s="243">
        <f>D12*E12</f>
        <v>628.94000000000142</v>
      </c>
      <c r="G12" s="245">
        <f>$F$6/F12</f>
        <v>3.844236599145646</v>
      </c>
    </row>
    <row r="13" spans="1:9" x14ac:dyDescent="0.2">
      <c r="A13" s="241" t="s">
        <v>131</v>
      </c>
      <c r="B13" s="242">
        <v>20829.259999999998</v>
      </c>
      <c r="C13" s="243">
        <f>B13-B14</f>
        <v>485.18999999999869</v>
      </c>
      <c r="D13" s="243">
        <f>C13/12*13</f>
        <v>525.62249999999858</v>
      </c>
      <c r="E13" s="244">
        <v>1</v>
      </c>
      <c r="F13" s="243">
        <f>D13*E13</f>
        <v>525.62249999999858</v>
      </c>
      <c r="G13" s="245">
        <f>$F$6/F13</f>
        <v>4.5998680929120699</v>
      </c>
    </row>
    <row r="14" spans="1:9" x14ac:dyDescent="0.2">
      <c r="A14" s="249" t="s">
        <v>132</v>
      </c>
      <c r="B14" s="250">
        <v>20344.07</v>
      </c>
      <c r="C14" s="251"/>
      <c r="D14" s="251"/>
      <c r="E14" s="251"/>
      <c r="F14" s="251"/>
      <c r="G14" s="252"/>
    </row>
    <row r="15" spans="1:9" x14ac:dyDescent="0.2">
      <c r="A15" s="236" t="s">
        <v>133</v>
      </c>
      <c r="B15" s="237">
        <v>21248.240000000002</v>
      </c>
      <c r="C15" s="238">
        <f t="shared" ref="C15:C21" si="4">B15-B16</f>
        <v>460</v>
      </c>
      <c r="D15" s="238">
        <f t="shared" ref="D15:D21" si="5">C15/12*13</f>
        <v>498.33333333333337</v>
      </c>
      <c r="E15" s="239">
        <v>1</v>
      </c>
      <c r="F15" s="238">
        <f t="shared" ref="F15:F21" si="6">D15*E15</f>
        <v>498.33333333333337</v>
      </c>
      <c r="G15" s="240">
        <f t="shared" ref="G15:G21" si="7">$F$6/F15</f>
        <v>4.8517608695652195</v>
      </c>
    </row>
    <row r="16" spans="1:9" x14ac:dyDescent="0.2">
      <c r="A16" s="241" t="s">
        <v>134</v>
      </c>
      <c r="B16" s="242">
        <v>20788.240000000002</v>
      </c>
      <c r="C16" s="243">
        <f t="shared" si="4"/>
        <v>769.14000000000306</v>
      </c>
      <c r="D16" s="243">
        <f t="shared" si="5"/>
        <v>833.23500000000331</v>
      </c>
      <c r="E16" s="244">
        <v>1</v>
      </c>
      <c r="F16" s="243">
        <f t="shared" si="6"/>
        <v>833.23500000000331</v>
      </c>
      <c r="G16" s="245">
        <f t="shared" si="7"/>
        <v>2.9016954000571968</v>
      </c>
    </row>
    <row r="17" spans="1:7" x14ac:dyDescent="0.2">
      <c r="A17" s="241" t="s">
        <v>135</v>
      </c>
      <c r="B17" s="242">
        <v>20019.099999999999</v>
      </c>
      <c r="C17" s="243">
        <f t="shared" si="4"/>
        <v>349.18999999999869</v>
      </c>
      <c r="D17" s="243">
        <f t="shared" si="5"/>
        <v>378.28916666666527</v>
      </c>
      <c r="E17" s="244">
        <v>1</v>
      </c>
      <c r="F17" s="243">
        <f t="shared" si="6"/>
        <v>378.28916666666527</v>
      </c>
      <c r="G17" s="245">
        <f t="shared" si="7"/>
        <v>6.3913915060569018</v>
      </c>
    </row>
    <row r="18" spans="1:7" x14ac:dyDescent="0.2">
      <c r="A18" s="241" t="s">
        <v>136</v>
      </c>
      <c r="B18" s="242">
        <v>19669.91</v>
      </c>
      <c r="C18" s="243">
        <f t="shared" si="4"/>
        <v>326.57999999999811</v>
      </c>
      <c r="D18" s="243">
        <f t="shared" si="5"/>
        <v>353.79499999999797</v>
      </c>
      <c r="E18" s="244">
        <v>1</v>
      </c>
      <c r="F18" s="243">
        <f t="shared" si="6"/>
        <v>353.79499999999797</v>
      </c>
      <c r="G18" s="245">
        <f t="shared" si="7"/>
        <v>6.8338844999694226</v>
      </c>
    </row>
    <row r="19" spans="1:7" x14ac:dyDescent="0.2">
      <c r="A19" s="241" t="s">
        <v>137</v>
      </c>
      <c r="B19" s="242">
        <v>19343.330000000002</v>
      </c>
      <c r="C19" s="243">
        <f t="shared" si="4"/>
        <v>279.53000000000247</v>
      </c>
      <c r="D19" s="243">
        <f t="shared" si="5"/>
        <v>302.82416666666933</v>
      </c>
      <c r="E19" s="244">
        <v>1</v>
      </c>
      <c r="F19" s="243">
        <f t="shared" si="6"/>
        <v>302.82416666666933</v>
      </c>
      <c r="G19" s="245">
        <f t="shared" si="7"/>
        <v>7.9841519693771028</v>
      </c>
    </row>
    <row r="20" spans="1:7" x14ac:dyDescent="0.2">
      <c r="A20" s="241" t="s">
        <v>139</v>
      </c>
      <c r="B20" s="242">
        <v>19063.8</v>
      </c>
      <c r="C20" s="243">
        <f t="shared" si="4"/>
        <v>729.86999999999898</v>
      </c>
      <c r="D20" s="243">
        <f t="shared" si="5"/>
        <v>790.69249999999886</v>
      </c>
      <c r="E20" s="244">
        <v>1</v>
      </c>
      <c r="F20" s="243">
        <f t="shared" si="6"/>
        <v>790.69249999999886</v>
      </c>
      <c r="G20" s="245">
        <f t="shared" si="7"/>
        <v>3.0578185156260762</v>
      </c>
    </row>
    <row r="21" spans="1:7" x14ac:dyDescent="0.2">
      <c r="A21" s="241" t="s">
        <v>61</v>
      </c>
      <c r="B21" s="242">
        <v>18333.93</v>
      </c>
      <c r="C21" s="243">
        <f t="shared" si="4"/>
        <v>299.86000000000058</v>
      </c>
      <c r="D21" s="243">
        <f t="shared" si="5"/>
        <v>324.84833333333398</v>
      </c>
      <c r="E21" s="244">
        <v>1</v>
      </c>
      <c r="F21" s="243">
        <f t="shared" si="6"/>
        <v>324.84833333333398</v>
      </c>
      <c r="G21" s="245">
        <f t="shared" si="7"/>
        <v>7.4428399919962542</v>
      </c>
    </row>
    <row r="22" spans="1:7" x14ac:dyDescent="0.2">
      <c r="A22" s="249" t="s">
        <v>86</v>
      </c>
      <c r="B22" s="250">
        <v>18034.07</v>
      </c>
      <c r="C22" s="251"/>
      <c r="D22" s="251"/>
      <c r="E22" s="251"/>
      <c r="F22" s="251"/>
      <c r="G22" s="252"/>
    </row>
    <row r="23" spans="1:7" x14ac:dyDescent="0.2">
      <c r="A23" s="236" t="s">
        <v>140</v>
      </c>
      <c r="B23" s="237">
        <v>18661.97</v>
      </c>
      <c r="C23" s="238">
        <f>B23-B24</f>
        <v>320</v>
      </c>
      <c r="D23" s="238">
        <f>C23/12*13</f>
        <v>346.66666666666669</v>
      </c>
      <c r="E23" s="239">
        <v>1</v>
      </c>
      <c r="F23" s="238">
        <f>D23*E23</f>
        <v>346.66666666666669</v>
      </c>
      <c r="G23" s="240">
        <f>$F$6/F23</f>
        <v>6.974406250000003</v>
      </c>
    </row>
    <row r="24" spans="1:7" x14ac:dyDescent="0.2">
      <c r="A24" s="241" t="s">
        <v>141</v>
      </c>
      <c r="B24" s="242">
        <v>18341.97</v>
      </c>
      <c r="C24" s="243">
        <f>B24-B25</f>
        <v>371.43000000000029</v>
      </c>
      <c r="D24" s="243">
        <f>C24/12*13</f>
        <v>402.38250000000033</v>
      </c>
      <c r="E24" s="244">
        <v>1</v>
      </c>
      <c r="F24" s="243">
        <f>D24*E24</f>
        <v>402.38250000000033</v>
      </c>
      <c r="G24" s="245">
        <f>$F$6/F24</f>
        <v>6.0086961203995353</v>
      </c>
    </row>
    <row r="25" spans="1:7" x14ac:dyDescent="0.2">
      <c r="A25" s="241" t="s">
        <v>142</v>
      </c>
      <c r="B25" s="242">
        <v>17970.54</v>
      </c>
      <c r="C25" s="243">
        <f>B25-B26</f>
        <v>313.97999999999956</v>
      </c>
      <c r="D25" s="243">
        <f>C25/12*13</f>
        <v>340.14499999999953</v>
      </c>
      <c r="E25" s="244">
        <v>1</v>
      </c>
      <c r="F25" s="243">
        <f>D25*E25</f>
        <v>340.14499999999953</v>
      </c>
      <c r="G25" s="245">
        <f>$F$6/F25</f>
        <v>7.1081279062360796</v>
      </c>
    </row>
    <row r="26" spans="1:7" x14ac:dyDescent="0.2">
      <c r="A26" s="241" t="s">
        <v>143</v>
      </c>
      <c r="B26" s="242">
        <v>17656.560000000001</v>
      </c>
      <c r="C26" s="243">
        <f>B26-B27</f>
        <v>366.25</v>
      </c>
      <c r="D26" s="243">
        <f>C26/12*13</f>
        <v>396.77083333333331</v>
      </c>
      <c r="E26" s="244">
        <v>1</v>
      </c>
      <c r="F26" s="243">
        <f>D26*E26</f>
        <v>396.77083333333331</v>
      </c>
      <c r="G26" s="245">
        <f>$F$6/F26</f>
        <v>6.0936791808873751</v>
      </c>
    </row>
    <row r="27" spans="1:7" x14ac:dyDescent="0.2">
      <c r="A27" s="241" t="s">
        <v>144</v>
      </c>
      <c r="B27" s="242">
        <v>17290.310000000001</v>
      </c>
      <c r="C27" s="243">
        <f>B27-B28</f>
        <v>229.34000000000015</v>
      </c>
      <c r="D27" s="243">
        <f>C27/12*13</f>
        <v>248.45166666666682</v>
      </c>
      <c r="E27" s="244">
        <v>1</v>
      </c>
      <c r="F27" s="243">
        <f>D27*E27</f>
        <v>248.45166666666682</v>
      </c>
      <c r="G27" s="245">
        <f>$F$6/F27</f>
        <v>9.7314467602685966</v>
      </c>
    </row>
    <row r="28" spans="1:7" x14ac:dyDescent="0.2">
      <c r="A28" s="249" t="s">
        <v>145</v>
      </c>
      <c r="B28" s="250">
        <v>17060.97</v>
      </c>
      <c r="C28" s="251"/>
      <c r="D28" s="251"/>
      <c r="E28" s="251"/>
      <c r="F28" s="251"/>
      <c r="G28" s="252"/>
    </row>
    <row r="29" spans="1:7" x14ac:dyDescent="0.2">
      <c r="A29" s="167"/>
      <c r="B29" s="167"/>
      <c r="C29" s="167"/>
      <c r="D29" s="167"/>
      <c r="E29" s="167"/>
      <c r="F29" s="167"/>
    </row>
    <row r="30" spans="1:7" x14ac:dyDescent="0.2">
      <c r="A30" s="167"/>
      <c r="B30" s="167"/>
      <c r="C30" s="167"/>
      <c r="D30" s="167"/>
      <c r="E30" s="167"/>
      <c r="F30" s="253"/>
    </row>
    <row r="31" spans="1:7" x14ac:dyDescent="0.2">
      <c r="A31" s="167"/>
      <c r="B31" s="167"/>
      <c r="C31" s="254"/>
      <c r="D31" s="167"/>
      <c r="E31" s="167"/>
      <c r="F31" s="253"/>
    </row>
    <row r="32" spans="1:7" x14ac:dyDescent="0.2">
      <c r="A32" s="167"/>
      <c r="B32" s="167"/>
      <c r="C32" s="254"/>
      <c r="D32" s="167"/>
      <c r="E32" s="167"/>
      <c r="F32" s="253"/>
    </row>
    <row r="33" spans="1:7" x14ac:dyDescent="0.2">
      <c r="A33" s="167"/>
      <c r="B33" s="167"/>
      <c r="C33" s="254"/>
      <c r="D33" s="167"/>
      <c r="E33" s="167"/>
      <c r="F33" s="253"/>
    </row>
    <row r="34" spans="1:7" x14ac:dyDescent="0.2">
      <c r="A34" s="167"/>
      <c r="B34" s="167"/>
      <c r="C34" s="254"/>
      <c r="D34" s="167"/>
      <c r="E34" s="167"/>
      <c r="F34" s="253"/>
      <c r="G34" s="255"/>
    </row>
    <row r="35" spans="1:7" x14ac:dyDescent="0.2">
      <c r="A35" s="167"/>
      <c r="B35" s="167"/>
      <c r="C35" s="254"/>
      <c r="D35" s="254"/>
      <c r="E35" s="256"/>
      <c r="F35" s="256"/>
      <c r="G35" s="255"/>
    </row>
    <row r="36" spans="1:7" x14ac:dyDescent="0.2">
      <c r="D36" s="257"/>
      <c r="E36" s="258"/>
      <c r="F36" s="258"/>
      <c r="G36" s="255"/>
    </row>
    <row r="37" spans="1:7" x14ac:dyDescent="0.2">
      <c r="D37" s="257"/>
      <c r="E37" s="258"/>
      <c r="F37" s="258"/>
      <c r="G37" s="255"/>
    </row>
    <row r="38" spans="1:7" x14ac:dyDescent="0.2">
      <c r="D38" s="257"/>
      <c r="E38" s="258"/>
      <c r="F38" s="258"/>
      <c r="G38" s="255"/>
    </row>
    <row r="39" spans="1:7" x14ac:dyDescent="0.2">
      <c r="D39" s="257"/>
      <c r="E39" s="258"/>
      <c r="F39" s="258"/>
      <c r="G39" s="255"/>
    </row>
    <row r="40" spans="1:7" x14ac:dyDescent="0.2">
      <c r="D40" s="257"/>
      <c r="E40" s="258"/>
      <c r="F40" s="258"/>
      <c r="G40" s="255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H10"/>
  <sheetViews>
    <sheetView zoomScaleNormal="100" workbookViewId="0">
      <selection activeCell="D6" sqref="D6"/>
    </sheetView>
  </sheetViews>
  <sheetFormatPr defaultColWidth="8.5703125" defaultRowHeight="12.75" x14ac:dyDescent="0.2"/>
  <cols>
    <col min="1" max="1" width="43.5703125" customWidth="1"/>
    <col min="2" max="8" width="11.7109375" customWidth="1"/>
  </cols>
  <sheetData>
    <row r="4" spans="1:8" x14ac:dyDescent="0.2">
      <c r="A4" s="259" t="s">
        <v>153</v>
      </c>
      <c r="B4" s="260">
        <v>240</v>
      </c>
      <c r="C4" s="260">
        <v>240</v>
      </c>
      <c r="D4" s="260">
        <v>240</v>
      </c>
      <c r="E4" s="260">
        <v>240</v>
      </c>
      <c r="F4" s="260">
        <v>240</v>
      </c>
      <c r="G4" s="260">
        <v>240</v>
      </c>
      <c r="H4" s="260">
        <v>240</v>
      </c>
    </row>
    <row r="5" spans="1:8" x14ac:dyDescent="0.2">
      <c r="A5" s="259" t="s">
        <v>154</v>
      </c>
      <c r="B5" s="261">
        <v>9</v>
      </c>
      <c r="C5" s="261">
        <v>9</v>
      </c>
      <c r="D5" s="262">
        <v>7</v>
      </c>
      <c r="E5" s="261">
        <v>9</v>
      </c>
      <c r="F5" s="261">
        <v>9</v>
      </c>
      <c r="G5" s="261">
        <v>9</v>
      </c>
      <c r="H5" s="261">
        <v>9</v>
      </c>
    </row>
    <row r="6" spans="1:8" x14ac:dyDescent="0.2">
      <c r="A6" s="259" t="s">
        <v>155</v>
      </c>
      <c r="B6" s="263">
        <v>1</v>
      </c>
      <c r="C6" s="263">
        <v>2</v>
      </c>
      <c r="D6" s="264">
        <v>3</v>
      </c>
      <c r="E6" s="263">
        <v>4</v>
      </c>
      <c r="F6" s="263">
        <v>5</v>
      </c>
      <c r="G6" s="263">
        <v>6</v>
      </c>
      <c r="H6" s="263">
        <v>7</v>
      </c>
    </row>
    <row r="7" spans="1:8" x14ac:dyDescent="0.2">
      <c r="A7" s="259" t="s">
        <v>146</v>
      </c>
      <c r="B7" s="265">
        <f t="shared" ref="B7:H7" si="0">(B4*B5)*B6</f>
        <v>2160</v>
      </c>
      <c r="C7" s="265">
        <f t="shared" si="0"/>
        <v>4320</v>
      </c>
      <c r="D7" s="265">
        <f t="shared" si="0"/>
        <v>5040</v>
      </c>
      <c r="E7" s="265">
        <f t="shared" si="0"/>
        <v>8640</v>
      </c>
      <c r="F7" s="265">
        <f t="shared" si="0"/>
        <v>10800</v>
      </c>
      <c r="G7" s="265">
        <f t="shared" si="0"/>
        <v>12960</v>
      </c>
      <c r="H7" s="265">
        <f t="shared" si="0"/>
        <v>15120</v>
      </c>
    </row>
    <row r="10" spans="1:8" x14ac:dyDescent="0.2">
      <c r="D10" s="266"/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42"/>
  <sheetViews>
    <sheetView topLeftCell="A28" zoomScaleNormal="100" workbookViewId="0">
      <selection activeCell="G42" sqref="G42"/>
    </sheetView>
  </sheetViews>
  <sheetFormatPr defaultColWidth="8.85546875" defaultRowHeight="12.75" x14ac:dyDescent="0.2"/>
  <cols>
    <col min="1" max="1" width="12.5703125" style="267" customWidth="1"/>
    <col min="2" max="5" width="18.28515625" style="267" customWidth="1"/>
    <col min="6" max="6" width="12.28515625" style="267" customWidth="1"/>
    <col min="7" max="7" width="18.28515625" style="267" customWidth="1"/>
    <col min="8" max="8" width="12.28515625" style="267" customWidth="1"/>
    <col min="9" max="9" width="18.28515625" style="267" customWidth="1"/>
    <col min="10" max="10" width="12.28515625" style="267" customWidth="1"/>
    <col min="11" max="11" width="20.5703125" style="267" customWidth="1"/>
    <col min="12" max="1025" width="8.85546875" style="267"/>
  </cols>
  <sheetData>
    <row r="1" spans="1:19" ht="60" x14ac:dyDescent="0.2">
      <c r="A1" s="268" t="s">
        <v>109</v>
      </c>
      <c r="B1" s="269" t="s">
        <v>110</v>
      </c>
      <c r="C1" s="269" t="s">
        <v>156</v>
      </c>
      <c r="D1" s="270" t="s">
        <v>157</v>
      </c>
      <c r="E1" s="271" t="s">
        <v>158</v>
      </c>
      <c r="F1" s="268" t="s">
        <v>159</v>
      </c>
      <c r="G1" s="272" t="s">
        <v>115</v>
      </c>
      <c r="H1" s="268" t="s">
        <v>160</v>
      </c>
      <c r="I1" s="272" t="s">
        <v>118</v>
      </c>
      <c r="J1" s="268" t="s">
        <v>161</v>
      </c>
      <c r="K1" s="272" t="s">
        <v>121</v>
      </c>
    </row>
    <row r="2" spans="1:19" ht="15" x14ac:dyDescent="0.2">
      <c r="A2" s="273" t="s">
        <v>122</v>
      </c>
      <c r="B2" s="274">
        <v>31138.84</v>
      </c>
      <c r="C2" s="274">
        <f>B2-B3</f>
        <v>1500</v>
      </c>
      <c r="D2" s="275">
        <f>C2/12*13</f>
        <v>1625</v>
      </c>
      <c r="E2" s="276">
        <f>D5+D4+D3+D2</f>
        <v>6160.8949999999986</v>
      </c>
      <c r="F2" s="277">
        <v>0</v>
      </c>
      <c r="G2" s="278">
        <f>E2*F2</f>
        <v>0</v>
      </c>
      <c r="H2" s="279">
        <v>0</v>
      </c>
      <c r="I2" s="278">
        <f>E2*H2</f>
        <v>0</v>
      </c>
      <c r="J2" s="277">
        <v>0</v>
      </c>
      <c r="K2" s="278">
        <f>E2*J2</f>
        <v>0</v>
      </c>
    </row>
    <row r="3" spans="1:19" ht="15" x14ac:dyDescent="0.2">
      <c r="A3" s="280" t="s">
        <v>123</v>
      </c>
      <c r="B3" s="281">
        <v>29638.84</v>
      </c>
      <c r="C3" s="281">
        <f>B3-B4</f>
        <v>1915.1399999999994</v>
      </c>
      <c r="D3" s="275">
        <f>C3/12*13</f>
        <v>2074.7349999999992</v>
      </c>
      <c r="E3" s="276">
        <f>D5+D4+D3</f>
        <v>4535.8949999999986</v>
      </c>
      <c r="F3" s="277">
        <v>0</v>
      </c>
      <c r="G3" s="282">
        <f>E3*F3</f>
        <v>0</v>
      </c>
      <c r="H3" s="283">
        <v>0</v>
      </c>
      <c r="I3" s="282">
        <f>E3*H3</f>
        <v>0</v>
      </c>
      <c r="J3" s="284">
        <v>0</v>
      </c>
      <c r="K3" s="282">
        <f>E3*J3</f>
        <v>0</v>
      </c>
    </row>
    <row r="4" spans="1:19" ht="15" x14ac:dyDescent="0.2">
      <c r="A4" s="280" t="s">
        <v>124</v>
      </c>
      <c r="B4" s="281">
        <v>27723.7</v>
      </c>
      <c r="C4" s="281">
        <f>B4-B5</f>
        <v>1184.8199999999997</v>
      </c>
      <c r="D4" s="275">
        <f>C4/12*13</f>
        <v>1283.5549999999996</v>
      </c>
      <c r="E4" s="276">
        <f>D5+D4</f>
        <v>2461.16</v>
      </c>
      <c r="F4" s="277">
        <v>0</v>
      </c>
      <c r="G4" s="282">
        <f>E4*F4</f>
        <v>0</v>
      </c>
      <c r="H4" s="283">
        <v>0</v>
      </c>
      <c r="I4" s="282">
        <f>E4*H4</f>
        <v>0</v>
      </c>
      <c r="J4" s="284">
        <v>0</v>
      </c>
      <c r="K4" s="282">
        <f>E4*J4</f>
        <v>0</v>
      </c>
    </row>
    <row r="5" spans="1:19" ht="15" x14ac:dyDescent="0.2">
      <c r="A5" s="280" t="s">
        <v>125</v>
      </c>
      <c r="B5" s="281">
        <v>26538.880000000001</v>
      </c>
      <c r="C5" s="281">
        <f>B5-B6</f>
        <v>1087.0200000000004</v>
      </c>
      <c r="D5" s="275">
        <f>C5/12*13</f>
        <v>1177.6050000000005</v>
      </c>
      <c r="E5" s="276">
        <f>D5</f>
        <v>1177.6050000000005</v>
      </c>
      <c r="F5" s="277">
        <v>6</v>
      </c>
      <c r="G5" s="282">
        <f>E5*F5</f>
        <v>7065.6300000000028</v>
      </c>
      <c r="H5" s="283">
        <v>0</v>
      </c>
      <c r="I5" s="282">
        <f>E5*H5</f>
        <v>0</v>
      </c>
      <c r="J5" s="284">
        <v>0</v>
      </c>
      <c r="K5" s="282">
        <f>E5*J5</f>
        <v>0</v>
      </c>
    </row>
    <row r="6" spans="1:19" ht="14.25" x14ac:dyDescent="0.2">
      <c r="A6" s="285" t="s">
        <v>126</v>
      </c>
      <c r="B6" s="286">
        <v>25451.86</v>
      </c>
      <c r="C6" s="287"/>
      <c r="D6" s="288"/>
      <c r="E6" s="289"/>
      <c r="F6" s="290">
        <v>5</v>
      </c>
      <c r="G6" s="291"/>
      <c r="H6" s="292">
        <v>0</v>
      </c>
      <c r="I6" s="291"/>
      <c r="J6" s="290">
        <v>0</v>
      </c>
      <c r="K6" s="291"/>
    </row>
    <row r="7" spans="1:19" ht="15" x14ac:dyDescent="0.2">
      <c r="A7" s="273" t="s">
        <v>122</v>
      </c>
      <c r="B7" s="293">
        <v>31138.84</v>
      </c>
      <c r="C7" s="274">
        <f t="shared" ref="C7:C12" si="0">B7-B8</f>
        <v>1500</v>
      </c>
      <c r="D7" s="275">
        <f t="shared" ref="D7:D12" si="1">C7/12*13</f>
        <v>1625</v>
      </c>
      <c r="E7" s="276">
        <f>D12+D11+D10+D9+D8+D7</f>
        <v>9753.6508333333313</v>
      </c>
      <c r="F7" s="277">
        <v>0</v>
      </c>
      <c r="G7" s="278">
        <f t="shared" ref="G7:G12" si="2">E7*F7</f>
        <v>0</v>
      </c>
      <c r="H7" s="279">
        <v>0</v>
      </c>
      <c r="I7" s="278">
        <f t="shared" ref="I7:I12" si="3">E7*H7</f>
        <v>0</v>
      </c>
      <c r="J7" s="277">
        <v>0</v>
      </c>
      <c r="K7" s="278">
        <f t="shared" ref="K7:K12" si="4">J7</f>
        <v>0</v>
      </c>
    </row>
    <row r="8" spans="1:19" ht="15" x14ac:dyDescent="0.2">
      <c r="A8" s="280" t="s">
        <v>123</v>
      </c>
      <c r="B8" s="294">
        <v>29638.84</v>
      </c>
      <c r="C8" s="281">
        <f t="shared" si="0"/>
        <v>1915.1399999999994</v>
      </c>
      <c r="D8" s="295">
        <f t="shared" si="1"/>
        <v>2074.7349999999992</v>
      </c>
      <c r="E8" s="296">
        <f>D12+D11+D10+D9+D8</f>
        <v>8128.6508333333313</v>
      </c>
      <c r="F8" s="284">
        <v>0</v>
      </c>
      <c r="G8" s="282">
        <f t="shared" si="2"/>
        <v>0</v>
      </c>
      <c r="H8" s="283">
        <v>0</v>
      </c>
      <c r="I8" s="282">
        <f t="shared" si="3"/>
        <v>0</v>
      </c>
      <c r="J8" s="284">
        <v>0</v>
      </c>
      <c r="K8" s="282">
        <f t="shared" si="4"/>
        <v>0</v>
      </c>
      <c r="M8" s="297"/>
      <c r="O8" s="298"/>
    </row>
    <row r="9" spans="1:19" ht="15" x14ac:dyDescent="0.2">
      <c r="A9" s="280" t="s">
        <v>124</v>
      </c>
      <c r="B9" s="294">
        <v>27723.7</v>
      </c>
      <c r="C9" s="281">
        <f t="shared" si="0"/>
        <v>1184.8199999999997</v>
      </c>
      <c r="D9" s="295">
        <f t="shared" si="1"/>
        <v>1283.5549999999996</v>
      </c>
      <c r="E9" s="296">
        <f>D12+D11+D10+D9</f>
        <v>6053.9158333333326</v>
      </c>
      <c r="F9" s="284">
        <v>0</v>
      </c>
      <c r="G9" s="282">
        <f t="shared" si="2"/>
        <v>0</v>
      </c>
      <c r="H9" s="283">
        <v>0</v>
      </c>
      <c r="I9" s="282">
        <f t="shared" si="3"/>
        <v>0</v>
      </c>
      <c r="J9" s="284">
        <v>0</v>
      </c>
      <c r="K9" s="282">
        <f t="shared" si="4"/>
        <v>0</v>
      </c>
      <c r="M9" s="297"/>
      <c r="O9" s="298"/>
    </row>
    <row r="10" spans="1:19" ht="15" x14ac:dyDescent="0.2">
      <c r="A10" s="280" t="s">
        <v>125</v>
      </c>
      <c r="B10" s="294">
        <v>26538.880000000001</v>
      </c>
      <c r="C10" s="281">
        <f t="shared" si="0"/>
        <v>1087.0200000000004</v>
      </c>
      <c r="D10" s="295">
        <f t="shared" si="1"/>
        <v>1177.6050000000005</v>
      </c>
      <c r="E10" s="296">
        <f>D12+D11+D10</f>
        <v>4770.3608333333332</v>
      </c>
      <c r="F10" s="284">
        <v>0</v>
      </c>
      <c r="G10" s="282">
        <f t="shared" si="2"/>
        <v>0</v>
      </c>
      <c r="H10" s="283">
        <v>0</v>
      </c>
      <c r="I10" s="282">
        <f t="shared" si="3"/>
        <v>0</v>
      </c>
      <c r="J10" s="284">
        <v>0</v>
      </c>
      <c r="K10" s="282">
        <f t="shared" si="4"/>
        <v>0</v>
      </c>
      <c r="P10" s="297"/>
      <c r="Q10" s="297"/>
      <c r="R10" s="297"/>
      <c r="S10" s="299"/>
    </row>
    <row r="11" spans="1:19" ht="15" x14ac:dyDescent="0.2">
      <c r="A11" s="280" t="s">
        <v>127</v>
      </c>
      <c r="B11" s="294">
        <v>25451.86</v>
      </c>
      <c r="C11" s="281">
        <f t="shared" si="0"/>
        <v>2231.8100000000013</v>
      </c>
      <c r="D11" s="295">
        <f t="shared" si="1"/>
        <v>2417.7941666666679</v>
      </c>
      <c r="E11" s="296">
        <f>D12+D11</f>
        <v>3592.7558333333327</v>
      </c>
      <c r="F11" s="284">
        <v>3</v>
      </c>
      <c r="G11" s="282">
        <f t="shared" si="2"/>
        <v>10778.267499999998</v>
      </c>
      <c r="H11" s="283">
        <v>0</v>
      </c>
      <c r="I11" s="282">
        <f t="shared" si="3"/>
        <v>0</v>
      </c>
      <c r="J11" s="284">
        <v>0</v>
      </c>
      <c r="K11" s="282">
        <f t="shared" si="4"/>
        <v>0</v>
      </c>
      <c r="N11" s="297"/>
      <c r="P11" s="297"/>
      <c r="Q11" s="297"/>
      <c r="R11" s="297"/>
      <c r="S11" s="299"/>
    </row>
    <row r="12" spans="1:19" ht="15" x14ac:dyDescent="0.2">
      <c r="A12" s="280" t="s">
        <v>128</v>
      </c>
      <c r="B12" s="294">
        <v>23220.05</v>
      </c>
      <c r="C12" s="281">
        <f t="shared" si="0"/>
        <v>1084.5799999999981</v>
      </c>
      <c r="D12" s="295">
        <f t="shared" si="1"/>
        <v>1174.9616666666645</v>
      </c>
      <c r="E12" s="296">
        <f>D12</f>
        <v>1174.9616666666645</v>
      </c>
      <c r="F12" s="284">
        <v>8</v>
      </c>
      <c r="G12" s="282">
        <f t="shared" si="2"/>
        <v>9399.6933333333163</v>
      </c>
      <c r="H12" s="283">
        <v>0</v>
      </c>
      <c r="I12" s="282">
        <f t="shared" si="3"/>
        <v>0</v>
      </c>
      <c r="J12" s="284">
        <v>0</v>
      </c>
      <c r="K12" s="282">
        <f t="shared" si="4"/>
        <v>0</v>
      </c>
      <c r="N12" s="297"/>
      <c r="P12" s="297"/>
      <c r="Q12" s="297"/>
      <c r="R12" s="297"/>
      <c r="S12" s="299"/>
    </row>
    <row r="13" spans="1:19" ht="15" x14ac:dyDescent="0.2">
      <c r="A13" s="285" t="s">
        <v>65</v>
      </c>
      <c r="B13" s="300">
        <v>22135.47</v>
      </c>
      <c r="C13" s="287"/>
      <c r="D13" s="301"/>
      <c r="E13" s="302"/>
      <c r="F13" s="290">
        <v>15</v>
      </c>
      <c r="G13" s="291"/>
      <c r="H13" s="292">
        <v>0</v>
      </c>
      <c r="I13" s="291"/>
      <c r="J13" s="290">
        <v>0</v>
      </c>
      <c r="K13" s="291"/>
      <c r="P13" s="297"/>
      <c r="Q13" s="297"/>
      <c r="R13" s="297"/>
      <c r="S13" s="299"/>
    </row>
    <row r="14" spans="1:19" ht="15" x14ac:dyDescent="0.2">
      <c r="A14" s="273" t="s">
        <v>129</v>
      </c>
      <c r="B14" s="293">
        <v>23543.200000000001</v>
      </c>
      <c r="C14" s="274">
        <f>B14-B15</f>
        <v>640</v>
      </c>
      <c r="D14" s="275">
        <f>C14/12*13</f>
        <v>693.33333333333337</v>
      </c>
      <c r="E14" s="276">
        <f>E15+D14</f>
        <v>3465.7241666666682</v>
      </c>
      <c r="F14" s="277">
        <v>0</v>
      </c>
      <c r="G14" s="278">
        <f>E14*F14</f>
        <v>0</v>
      </c>
      <c r="H14" s="279">
        <v>0</v>
      </c>
      <c r="I14" s="278">
        <f>E14*H14</f>
        <v>0</v>
      </c>
      <c r="J14" s="277">
        <v>0</v>
      </c>
      <c r="K14" s="278">
        <f>E14*J14</f>
        <v>0</v>
      </c>
      <c r="P14" s="297"/>
      <c r="Q14" s="297"/>
      <c r="R14" s="297"/>
      <c r="S14" s="299"/>
    </row>
    <row r="15" spans="1:19" ht="15" x14ac:dyDescent="0.2">
      <c r="A15" s="280" t="s">
        <v>97</v>
      </c>
      <c r="B15" s="294">
        <v>22903.200000000001</v>
      </c>
      <c r="C15" s="281">
        <f>B15-B16</f>
        <v>817.09000000000015</v>
      </c>
      <c r="D15" s="295">
        <f>C15/12*13</f>
        <v>885.18083333333357</v>
      </c>
      <c r="E15" s="296">
        <f>E16+D15</f>
        <v>2772.3908333333347</v>
      </c>
      <c r="F15" s="284">
        <v>0</v>
      </c>
      <c r="G15" s="282">
        <f>E15*F15</f>
        <v>0</v>
      </c>
      <c r="H15" s="283">
        <v>0</v>
      </c>
      <c r="I15" s="282">
        <f>E15*H15</f>
        <v>0</v>
      </c>
      <c r="J15" s="284">
        <v>0</v>
      </c>
      <c r="K15" s="282">
        <f>E15*J15</f>
        <v>0</v>
      </c>
      <c r="P15" s="297"/>
      <c r="Q15" s="297"/>
      <c r="R15" s="297"/>
      <c r="S15" s="299"/>
    </row>
    <row r="16" spans="1:19" ht="15" x14ac:dyDescent="0.2">
      <c r="A16" s="280" t="s">
        <v>130</v>
      </c>
      <c r="B16" s="294">
        <v>22086.11</v>
      </c>
      <c r="C16" s="281">
        <f>B16-B17</f>
        <v>676.29000000000087</v>
      </c>
      <c r="D16" s="295">
        <f>C16/12*13</f>
        <v>732.64750000000095</v>
      </c>
      <c r="E16" s="296">
        <f>E17+D16</f>
        <v>1887.2100000000009</v>
      </c>
      <c r="F16" s="284">
        <v>1</v>
      </c>
      <c r="G16" s="282">
        <f>E16*F16</f>
        <v>1887.2100000000009</v>
      </c>
      <c r="H16" s="283">
        <v>0</v>
      </c>
      <c r="I16" s="282">
        <f>E16*H16</f>
        <v>0</v>
      </c>
      <c r="J16" s="284">
        <v>0</v>
      </c>
      <c r="K16" s="282">
        <f>E16*J16</f>
        <v>0</v>
      </c>
      <c r="R16" s="303"/>
    </row>
    <row r="17" spans="1:14" ht="15" x14ac:dyDescent="0.2">
      <c r="A17" s="280" t="s">
        <v>55</v>
      </c>
      <c r="B17" s="294">
        <v>21409.82</v>
      </c>
      <c r="C17" s="281">
        <f>B17-B18</f>
        <v>580.56000000000131</v>
      </c>
      <c r="D17" s="295">
        <f>C17/12*13</f>
        <v>628.94000000000142</v>
      </c>
      <c r="E17" s="296">
        <f>D18+D17</f>
        <v>1154.5625</v>
      </c>
      <c r="F17" s="284">
        <v>10</v>
      </c>
      <c r="G17" s="282">
        <f>E17*F17</f>
        <v>11545.625</v>
      </c>
      <c r="H17" s="283">
        <v>0</v>
      </c>
      <c r="I17" s="282">
        <f>E17*H17</f>
        <v>0</v>
      </c>
      <c r="J17" s="284">
        <v>0</v>
      </c>
      <c r="K17" s="282">
        <f>E17*J17</f>
        <v>0</v>
      </c>
    </row>
    <row r="18" spans="1:14" ht="15" x14ac:dyDescent="0.2">
      <c r="A18" s="280" t="s">
        <v>131</v>
      </c>
      <c r="B18" s="294">
        <v>20829.259999999998</v>
      </c>
      <c r="C18" s="281">
        <f>B18-B19</f>
        <v>485.18999999999869</v>
      </c>
      <c r="D18" s="295">
        <f>C18/12*13</f>
        <v>525.62249999999858</v>
      </c>
      <c r="E18" s="296">
        <f>D18</f>
        <v>525.62249999999858</v>
      </c>
      <c r="F18" s="284">
        <v>27</v>
      </c>
      <c r="G18" s="282">
        <f>E18*F18</f>
        <v>14191.807499999963</v>
      </c>
      <c r="H18" s="283">
        <v>0</v>
      </c>
      <c r="I18" s="282">
        <f>E18*H18</f>
        <v>0</v>
      </c>
      <c r="J18" s="284">
        <v>0</v>
      </c>
      <c r="K18" s="282">
        <f>E18*J18</f>
        <v>0</v>
      </c>
    </row>
    <row r="19" spans="1:14" ht="15" x14ac:dyDescent="0.2">
      <c r="A19" s="285" t="s">
        <v>132</v>
      </c>
      <c r="B19" s="300">
        <v>20344.07</v>
      </c>
      <c r="C19" s="287"/>
      <c r="D19" s="301"/>
      <c r="E19" s="302"/>
      <c r="F19" s="290">
        <v>5</v>
      </c>
      <c r="G19" s="291"/>
      <c r="H19" s="292">
        <v>0</v>
      </c>
      <c r="I19" s="291"/>
      <c r="J19" s="290">
        <v>0</v>
      </c>
      <c r="K19" s="291"/>
    </row>
    <row r="20" spans="1:14" ht="15" x14ac:dyDescent="0.2">
      <c r="A20" s="273" t="s">
        <v>133</v>
      </c>
      <c r="B20" s="293">
        <v>21248.240000000002</v>
      </c>
      <c r="C20" s="274">
        <f>B20-B21</f>
        <v>460</v>
      </c>
      <c r="D20" s="275">
        <f>C20/12*13</f>
        <v>498.33333333333337</v>
      </c>
      <c r="E20" s="276">
        <f>E21+D20</f>
        <v>2366.4766666666692</v>
      </c>
      <c r="F20" s="277">
        <v>0</v>
      </c>
      <c r="G20" s="278">
        <f>E20*F20</f>
        <v>0</v>
      </c>
      <c r="H20" s="279">
        <v>0</v>
      </c>
      <c r="I20" s="278">
        <f>E20*H20</f>
        <v>0</v>
      </c>
      <c r="J20" s="277">
        <v>0</v>
      </c>
      <c r="K20" s="278">
        <f>E20*J20</f>
        <v>0</v>
      </c>
    </row>
    <row r="21" spans="1:14" ht="15" x14ac:dyDescent="0.2">
      <c r="A21" s="280" t="s">
        <v>134</v>
      </c>
      <c r="B21" s="294">
        <v>20788.240000000002</v>
      </c>
      <c r="C21" s="281">
        <f>B21-B22</f>
        <v>769.14000000000306</v>
      </c>
      <c r="D21" s="295">
        <f>C21/12*13</f>
        <v>833.23500000000331</v>
      </c>
      <c r="E21" s="296">
        <f>E22+D21</f>
        <v>1868.1433333333359</v>
      </c>
      <c r="F21" s="284">
        <v>0</v>
      </c>
      <c r="G21" s="282">
        <f>E21*F21</f>
        <v>0</v>
      </c>
      <c r="H21" s="283">
        <v>0</v>
      </c>
      <c r="I21" s="282">
        <f>E21*H21</f>
        <v>0</v>
      </c>
      <c r="J21" s="284">
        <v>0</v>
      </c>
      <c r="K21" s="282">
        <f>E21*J21</f>
        <v>0</v>
      </c>
    </row>
    <row r="22" spans="1:14" ht="15" x14ac:dyDescent="0.2">
      <c r="A22" s="280" t="s">
        <v>135</v>
      </c>
      <c r="B22" s="294">
        <v>20019.099999999999</v>
      </c>
      <c r="C22" s="281">
        <f>B22-B23</f>
        <v>349.18999999999869</v>
      </c>
      <c r="D22" s="295">
        <f>C22/12*13</f>
        <v>378.28916666666527</v>
      </c>
      <c r="E22" s="296">
        <f>E23+D22</f>
        <v>1034.9083333333326</v>
      </c>
      <c r="F22" s="284">
        <v>3</v>
      </c>
      <c r="G22" s="282">
        <f>E22*F22</f>
        <v>3104.7249999999976</v>
      </c>
      <c r="H22" s="283">
        <v>0</v>
      </c>
      <c r="I22" s="282">
        <f>E22*H22</f>
        <v>0</v>
      </c>
      <c r="J22" s="284">
        <v>0</v>
      </c>
      <c r="K22" s="282">
        <f>E22*J22</f>
        <v>0</v>
      </c>
    </row>
    <row r="23" spans="1:14" ht="15" x14ac:dyDescent="0.2">
      <c r="A23" s="280" t="s">
        <v>136</v>
      </c>
      <c r="B23" s="294">
        <v>19669.91</v>
      </c>
      <c r="C23" s="281">
        <f>B23-B24</f>
        <v>326.57999999999811</v>
      </c>
      <c r="D23" s="295">
        <f>C23/12*13</f>
        <v>353.79499999999797</v>
      </c>
      <c r="E23" s="296">
        <f>D24+D23</f>
        <v>656.6191666666673</v>
      </c>
      <c r="F23" s="284">
        <v>10</v>
      </c>
      <c r="G23" s="282">
        <f>E23*F23</f>
        <v>6566.191666666673</v>
      </c>
      <c r="H23" s="283">
        <v>0</v>
      </c>
      <c r="I23" s="282">
        <f>E23*H23</f>
        <v>0</v>
      </c>
      <c r="J23" s="284">
        <v>0</v>
      </c>
      <c r="K23" s="282">
        <f>E23*J23</f>
        <v>0</v>
      </c>
      <c r="N23" s="297"/>
    </row>
    <row r="24" spans="1:14" ht="15" x14ac:dyDescent="0.2">
      <c r="A24" s="280" t="s">
        <v>137</v>
      </c>
      <c r="B24" s="294">
        <v>19343.330000000002</v>
      </c>
      <c r="C24" s="281">
        <f>B24-B25</f>
        <v>279.53000000000247</v>
      </c>
      <c r="D24" s="295">
        <f>C24/12*13</f>
        <v>302.82416666666933</v>
      </c>
      <c r="E24" s="296">
        <f>D24</f>
        <v>302.82416666666933</v>
      </c>
      <c r="F24" s="284">
        <v>0</v>
      </c>
      <c r="G24" s="282">
        <f>E24*F24</f>
        <v>0</v>
      </c>
      <c r="H24" s="283">
        <v>0</v>
      </c>
      <c r="I24" s="282">
        <f>E24*H24</f>
        <v>0</v>
      </c>
      <c r="J24" s="284">
        <v>0</v>
      </c>
      <c r="K24" s="282">
        <f>E24*J24</f>
        <v>0</v>
      </c>
      <c r="N24" s="297"/>
    </row>
    <row r="25" spans="1:14" ht="15" x14ac:dyDescent="0.2">
      <c r="A25" s="285" t="s">
        <v>138</v>
      </c>
      <c r="B25" s="300">
        <v>19063.8</v>
      </c>
      <c r="C25" s="287"/>
      <c r="D25" s="301"/>
      <c r="E25" s="302"/>
      <c r="F25" s="290">
        <v>3</v>
      </c>
      <c r="G25" s="291"/>
      <c r="H25" s="292">
        <v>0</v>
      </c>
      <c r="I25" s="291"/>
      <c r="J25" s="290">
        <v>0</v>
      </c>
      <c r="K25" s="291"/>
      <c r="N25" s="297"/>
    </row>
    <row r="26" spans="1:14" ht="15" x14ac:dyDescent="0.2">
      <c r="A26" s="273" t="s">
        <v>133</v>
      </c>
      <c r="B26" s="293">
        <v>21248.240000000002</v>
      </c>
      <c r="C26" s="274">
        <f t="shared" ref="C26:C32" si="5">B26-B27</f>
        <v>460</v>
      </c>
      <c r="D26" s="275">
        <f t="shared" ref="D26:D32" si="6">C26/12*13</f>
        <v>498.33333333333337</v>
      </c>
      <c r="E26" s="276">
        <f>E27+D26</f>
        <v>3482.0175000000022</v>
      </c>
      <c r="F26" s="277">
        <v>0</v>
      </c>
      <c r="G26" s="278">
        <f t="shared" ref="G26:G32" si="7">E26*F26</f>
        <v>0</v>
      </c>
      <c r="H26" s="279">
        <v>0</v>
      </c>
      <c r="I26" s="278">
        <f t="shared" ref="I26:I32" si="8">E26*H26</f>
        <v>0</v>
      </c>
      <c r="J26" s="277">
        <v>0</v>
      </c>
      <c r="K26" s="278">
        <f t="shared" ref="K26:K32" si="9">E26*J26</f>
        <v>0</v>
      </c>
    </row>
    <row r="27" spans="1:14" ht="15" x14ac:dyDescent="0.2">
      <c r="A27" s="280" t="s">
        <v>134</v>
      </c>
      <c r="B27" s="294">
        <v>20788.240000000002</v>
      </c>
      <c r="C27" s="281">
        <f t="shared" si="5"/>
        <v>769.14000000000306</v>
      </c>
      <c r="D27" s="295">
        <f t="shared" si="6"/>
        <v>833.23500000000331</v>
      </c>
      <c r="E27" s="296">
        <f>E28+D27</f>
        <v>2983.6841666666687</v>
      </c>
      <c r="F27" s="284">
        <v>0</v>
      </c>
      <c r="G27" s="282">
        <f t="shared" si="7"/>
        <v>0</v>
      </c>
      <c r="H27" s="283">
        <v>0</v>
      </c>
      <c r="I27" s="282">
        <f t="shared" si="8"/>
        <v>0</v>
      </c>
      <c r="J27" s="284">
        <v>0</v>
      </c>
      <c r="K27" s="282">
        <f t="shared" si="9"/>
        <v>0</v>
      </c>
    </row>
    <row r="28" spans="1:14" ht="15" x14ac:dyDescent="0.2">
      <c r="A28" s="280" t="s">
        <v>135</v>
      </c>
      <c r="B28" s="294">
        <v>20019.099999999999</v>
      </c>
      <c r="C28" s="281">
        <f t="shared" si="5"/>
        <v>349.18999999999869</v>
      </c>
      <c r="D28" s="295">
        <f t="shared" si="6"/>
        <v>378.28916666666527</v>
      </c>
      <c r="E28" s="296">
        <f>E29+D28</f>
        <v>2150.4491666666654</v>
      </c>
      <c r="F28" s="284">
        <v>0</v>
      </c>
      <c r="G28" s="282">
        <f t="shared" si="7"/>
        <v>0</v>
      </c>
      <c r="H28" s="283">
        <v>0</v>
      </c>
      <c r="I28" s="282">
        <f t="shared" si="8"/>
        <v>0</v>
      </c>
      <c r="J28" s="284">
        <v>0</v>
      </c>
      <c r="K28" s="282">
        <f t="shared" si="9"/>
        <v>0</v>
      </c>
    </row>
    <row r="29" spans="1:14" ht="15" x14ac:dyDescent="0.2">
      <c r="A29" s="280" t="s">
        <v>136</v>
      </c>
      <c r="B29" s="294">
        <v>19669.91</v>
      </c>
      <c r="C29" s="281">
        <f t="shared" si="5"/>
        <v>326.57999999999811</v>
      </c>
      <c r="D29" s="295">
        <f t="shared" si="6"/>
        <v>353.79499999999797</v>
      </c>
      <c r="E29" s="296">
        <f>E30+D29</f>
        <v>1772.16</v>
      </c>
      <c r="F29" s="284">
        <v>0</v>
      </c>
      <c r="G29" s="282">
        <f t="shared" si="7"/>
        <v>0</v>
      </c>
      <c r="H29" s="283">
        <v>0</v>
      </c>
      <c r="I29" s="282">
        <f t="shared" si="8"/>
        <v>0</v>
      </c>
      <c r="J29" s="284">
        <v>0</v>
      </c>
      <c r="K29" s="282">
        <f t="shared" si="9"/>
        <v>0</v>
      </c>
    </row>
    <row r="30" spans="1:14" ht="15" x14ac:dyDescent="0.2">
      <c r="A30" s="280" t="s">
        <v>137</v>
      </c>
      <c r="B30" s="294">
        <v>19343.330000000002</v>
      </c>
      <c r="C30" s="281">
        <f t="shared" si="5"/>
        <v>279.53000000000247</v>
      </c>
      <c r="D30" s="295">
        <f t="shared" si="6"/>
        <v>302.82416666666933</v>
      </c>
      <c r="E30" s="296">
        <f>E31+D30</f>
        <v>1418.3650000000021</v>
      </c>
      <c r="F30" s="284">
        <v>10</v>
      </c>
      <c r="G30" s="282">
        <f t="shared" si="7"/>
        <v>14183.65000000002</v>
      </c>
      <c r="H30" s="283">
        <v>0</v>
      </c>
      <c r="I30" s="282">
        <f t="shared" si="8"/>
        <v>0</v>
      </c>
      <c r="J30" s="284">
        <v>0</v>
      </c>
      <c r="K30" s="282">
        <f t="shared" si="9"/>
        <v>0</v>
      </c>
    </row>
    <row r="31" spans="1:14" ht="15" x14ac:dyDescent="0.2">
      <c r="A31" s="280" t="s">
        <v>139</v>
      </c>
      <c r="B31" s="294">
        <v>19063.8</v>
      </c>
      <c r="C31" s="281">
        <f t="shared" si="5"/>
        <v>729.86999999999898</v>
      </c>
      <c r="D31" s="295">
        <f t="shared" si="6"/>
        <v>790.69249999999886</v>
      </c>
      <c r="E31" s="296">
        <f>D32+D31</f>
        <v>1115.5408333333328</v>
      </c>
      <c r="F31" s="284">
        <v>12</v>
      </c>
      <c r="G31" s="282">
        <f t="shared" si="7"/>
        <v>13386.489999999994</v>
      </c>
      <c r="H31" s="283">
        <v>0</v>
      </c>
      <c r="I31" s="282">
        <f t="shared" si="8"/>
        <v>0</v>
      </c>
      <c r="J31" s="284">
        <v>0</v>
      </c>
      <c r="K31" s="282">
        <f t="shared" si="9"/>
        <v>0</v>
      </c>
    </row>
    <row r="32" spans="1:14" ht="15" x14ac:dyDescent="0.2">
      <c r="A32" s="280" t="s">
        <v>61</v>
      </c>
      <c r="B32" s="294">
        <v>18333.93</v>
      </c>
      <c r="C32" s="281">
        <f t="shared" si="5"/>
        <v>299.86000000000058</v>
      </c>
      <c r="D32" s="295">
        <f t="shared" si="6"/>
        <v>324.84833333333398</v>
      </c>
      <c r="E32" s="296">
        <f>D32</f>
        <v>324.84833333333398</v>
      </c>
      <c r="F32" s="284">
        <v>27</v>
      </c>
      <c r="G32" s="282">
        <f t="shared" si="7"/>
        <v>8770.905000000017</v>
      </c>
      <c r="H32" s="283">
        <v>0</v>
      </c>
      <c r="I32" s="282">
        <f t="shared" si="8"/>
        <v>0</v>
      </c>
      <c r="J32" s="284">
        <v>0</v>
      </c>
      <c r="K32" s="282">
        <f t="shared" si="9"/>
        <v>0</v>
      </c>
    </row>
    <row r="33" spans="1:11" ht="15" x14ac:dyDescent="0.2">
      <c r="A33" s="285" t="s">
        <v>86</v>
      </c>
      <c r="B33" s="300">
        <v>18034.07</v>
      </c>
      <c r="C33" s="287"/>
      <c r="D33" s="301"/>
      <c r="E33" s="302"/>
      <c r="F33" s="290">
        <v>12</v>
      </c>
      <c r="G33" s="291"/>
      <c r="H33" s="292">
        <v>0</v>
      </c>
      <c r="I33" s="291"/>
      <c r="J33" s="290">
        <v>0</v>
      </c>
      <c r="K33" s="291"/>
    </row>
    <row r="34" spans="1:11" ht="15" x14ac:dyDescent="0.2">
      <c r="A34" s="273" t="s">
        <v>140</v>
      </c>
      <c r="B34" s="293">
        <v>18661.97</v>
      </c>
      <c r="C34" s="274">
        <f>B34-B35</f>
        <v>320</v>
      </c>
      <c r="D34" s="275">
        <f>C34/12*13</f>
        <v>346.66666666666669</v>
      </c>
      <c r="E34" s="276">
        <f>E35+D34</f>
        <v>1734.4166666666667</v>
      </c>
      <c r="F34" s="277">
        <v>0</v>
      </c>
      <c r="G34" s="278">
        <f>E34*F34</f>
        <v>0</v>
      </c>
      <c r="H34" s="279">
        <v>0</v>
      </c>
      <c r="I34" s="278">
        <f>E34*H34</f>
        <v>0</v>
      </c>
      <c r="J34" s="277">
        <v>0</v>
      </c>
      <c r="K34" s="278">
        <f>E34*J34</f>
        <v>0</v>
      </c>
    </row>
    <row r="35" spans="1:11" ht="15" x14ac:dyDescent="0.2">
      <c r="A35" s="280" t="s">
        <v>141</v>
      </c>
      <c r="B35" s="294">
        <v>18341.97</v>
      </c>
      <c r="C35" s="281">
        <f>B35-B36</f>
        <v>371.43000000000029</v>
      </c>
      <c r="D35" s="295">
        <f>C35/12*13</f>
        <v>402.38250000000033</v>
      </c>
      <c r="E35" s="296">
        <f>E36+D35</f>
        <v>1387.75</v>
      </c>
      <c r="F35" s="284">
        <v>0</v>
      </c>
      <c r="G35" s="282">
        <f>E35*F35</f>
        <v>0</v>
      </c>
      <c r="H35" s="283">
        <v>0</v>
      </c>
      <c r="I35" s="282">
        <f>E35*H35</f>
        <v>0</v>
      </c>
      <c r="J35" s="284">
        <v>0</v>
      </c>
      <c r="K35" s="282">
        <f>E35*J35</f>
        <v>0</v>
      </c>
    </row>
    <row r="36" spans="1:11" ht="15" x14ac:dyDescent="0.2">
      <c r="A36" s="280" t="s">
        <v>142</v>
      </c>
      <c r="B36" s="294">
        <v>17970.54</v>
      </c>
      <c r="C36" s="281">
        <f>B36-B37</f>
        <v>313.97999999999956</v>
      </c>
      <c r="D36" s="295">
        <f>C36/12*13</f>
        <v>340.14499999999953</v>
      </c>
      <c r="E36" s="296">
        <f>E37+D36</f>
        <v>985.36749999999961</v>
      </c>
      <c r="F36" s="284">
        <v>0</v>
      </c>
      <c r="G36" s="282">
        <f>E36*F36</f>
        <v>0</v>
      </c>
      <c r="H36" s="283">
        <v>0</v>
      </c>
      <c r="I36" s="282">
        <f>E36*H36</f>
        <v>0</v>
      </c>
      <c r="J36" s="284">
        <v>0</v>
      </c>
      <c r="K36" s="282">
        <f>E36*J36</f>
        <v>0</v>
      </c>
    </row>
    <row r="37" spans="1:11" ht="15" x14ac:dyDescent="0.2">
      <c r="A37" s="280" t="s">
        <v>143</v>
      </c>
      <c r="B37" s="294">
        <v>17656.560000000001</v>
      </c>
      <c r="C37" s="281">
        <f>B37-B38</f>
        <v>366.25</v>
      </c>
      <c r="D37" s="295">
        <f>C37/12*13</f>
        <v>396.77083333333331</v>
      </c>
      <c r="E37" s="296">
        <f>D38+D37</f>
        <v>645.22250000000008</v>
      </c>
      <c r="F37" s="284">
        <v>2</v>
      </c>
      <c r="G37" s="282">
        <f>E37*F37</f>
        <v>1290.4450000000002</v>
      </c>
      <c r="H37" s="283">
        <v>0</v>
      </c>
      <c r="I37" s="282">
        <f>E37*H37</f>
        <v>0</v>
      </c>
      <c r="J37" s="284">
        <v>0</v>
      </c>
      <c r="K37" s="282">
        <f>E37*J37</f>
        <v>0</v>
      </c>
    </row>
    <row r="38" spans="1:11" ht="15" x14ac:dyDescent="0.2">
      <c r="A38" s="280" t="s">
        <v>144</v>
      </c>
      <c r="B38" s="294">
        <v>17290.310000000001</v>
      </c>
      <c r="C38" s="281">
        <f>B38-B39</f>
        <v>229.34000000000015</v>
      </c>
      <c r="D38" s="295">
        <f>C38/12*13</f>
        <v>248.45166666666682</v>
      </c>
      <c r="E38" s="296">
        <f>D38</f>
        <v>248.45166666666682</v>
      </c>
      <c r="F38" s="284">
        <v>0</v>
      </c>
      <c r="G38" s="282">
        <f>E38*F38</f>
        <v>0</v>
      </c>
      <c r="H38" s="283">
        <v>0</v>
      </c>
      <c r="I38" s="282">
        <f>E38*H38</f>
        <v>0</v>
      </c>
      <c r="J38" s="284">
        <v>0</v>
      </c>
      <c r="K38" s="282">
        <f>E38*J38</f>
        <v>0</v>
      </c>
    </row>
    <row r="39" spans="1:11" ht="15" x14ac:dyDescent="0.2">
      <c r="A39" s="285" t="s">
        <v>145</v>
      </c>
      <c r="B39" s="300">
        <v>17060.97</v>
      </c>
      <c r="C39" s="287"/>
      <c r="D39" s="301"/>
      <c r="E39" s="302"/>
      <c r="F39" s="290">
        <v>0</v>
      </c>
      <c r="G39" s="291"/>
      <c r="H39" s="292">
        <v>0</v>
      </c>
      <c r="I39" s="291"/>
      <c r="J39" s="290">
        <v>0</v>
      </c>
      <c r="K39" s="291"/>
    </row>
    <row r="40" spans="1:11" ht="15" x14ac:dyDescent="0.2">
      <c r="A40" s="304"/>
      <c r="B40" s="304"/>
      <c r="C40" s="304"/>
      <c r="D40" s="305" t="s">
        <v>146</v>
      </c>
      <c r="E40" s="305"/>
      <c r="F40" s="306">
        <f>SUM(F2:F39)</f>
        <v>159</v>
      </c>
      <c r="G40" s="307"/>
      <c r="H40" s="307"/>
      <c r="I40" s="307"/>
      <c r="J40" s="307"/>
      <c r="K40" s="308"/>
    </row>
    <row r="41" spans="1:11" ht="14.25" x14ac:dyDescent="0.2">
      <c r="A41" s="304"/>
      <c r="B41" s="304"/>
      <c r="C41" s="304"/>
      <c r="D41" s="304"/>
      <c r="E41" s="304"/>
      <c r="F41" s="309"/>
      <c r="G41" s="307"/>
      <c r="H41" s="307"/>
      <c r="I41" s="307"/>
      <c r="J41" s="307"/>
      <c r="K41" s="308"/>
    </row>
    <row r="42" spans="1:11" ht="15" x14ac:dyDescent="0.25">
      <c r="A42" s="304"/>
      <c r="B42" s="304"/>
      <c r="C42" s="304"/>
      <c r="D42" s="1" t="s">
        <v>147</v>
      </c>
      <c r="E42" s="1"/>
      <c r="F42" s="1"/>
      <c r="G42" s="310">
        <f>SUM(G2:G39)</f>
        <v>102170.63999999998</v>
      </c>
      <c r="H42" s="311"/>
      <c r="I42" s="310">
        <f>SUM(I2:I39)</f>
        <v>0</v>
      </c>
      <c r="J42" s="311"/>
      <c r="K42" s="310">
        <f>SUM(K2:K39)</f>
        <v>0</v>
      </c>
    </row>
  </sheetData>
  <mergeCells count="1">
    <mergeCell ref="D42:F4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fondo e utilizzi</vt:lpstr>
      <vt:lpstr>uscite-entrate</vt:lpstr>
      <vt:lpstr>RIA e ad personam</vt:lpstr>
      <vt:lpstr>quota comparto</vt:lpstr>
      <vt:lpstr>nuove PEO</vt:lpstr>
      <vt:lpstr>Quote PEO</vt:lpstr>
      <vt:lpstr>PL</vt:lpstr>
      <vt:lpstr>Spesa PEO annua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PESCI</dc:creator>
  <dc:description/>
  <cp:lastModifiedBy>Irene Degiorgi</cp:lastModifiedBy>
  <cp:revision>5</cp:revision>
  <cp:lastPrinted>2019-05-28T11:02:40Z</cp:lastPrinted>
  <dcterms:created xsi:type="dcterms:W3CDTF">2018-08-20T13:44:38Z</dcterms:created>
  <dcterms:modified xsi:type="dcterms:W3CDTF">2019-10-11T11:22:06Z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